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65" windowWidth="15480" windowHeight="9810" activeTab="0"/>
  </bookViews>
  <sheets>
    <sheet name="Лист1" sheetId="1" r:id="rId1"/>
  </sheets>
  <definedNames>
    <definedName name="Detail">'Лист1'!$A$23:$H$23</definedName>
    <definedName name="Ec">'Лист1'!#REF!</definedName>
    <definedName name="EcS">'Лист1'!#REF!</definedName>
    <definedName name="FinanceYear">'Лист1'!$E$12</definedName>
    <definedName name="Gr">'Лист1'!$B$23</definedName>
    <definedName name="GrS">'Лист1'!#REF!</definedName>
    <definedName name="HeadAndCap">'Лист1'!$A$12:$H$21</definedName>
    <definedName name="MainData">'Лист1'!$A$23:$H$23</definedName>
    <definedName name="NameS">'Лист1'!#REF!</definedName>
    <definedName name="NextYearSumS">'Лист1'!#REF!</definedName>
    <definedName name="OwnerName">'Лист1'!#REF!</definedName>
    <definedName name="PGrS">'Лист1'!#REF!</definedName>
    <definedName name="PStS">'Лист1'!#REF!</definedName>
    <definedName name="StS">'Лист1'!#REF!</definedName>
    <definedName name="TypePlan">'Лист1'!$E$14</definedName>
    <definedName name="Year1Sum">'Лист1'!$G$23</definedName>
    <definedName name="Year2Sum">'Лист1'!$H$23</definedName>
    <definedName name="Z_9673DDC5_C3BF_47B2_97C0_F36C0C02E8C8_.wvu.Cols" localSheetId="0" hidden="1">'Лист1'!#REF!</definedName>
    <definedName name="Z_B2D76501_91FA_4652_BF58_ECFCF37C5063_.wvu.Cols" localSheetId="0" hidden="1">'Лист1'!#REF!</definedName>
    <definedName name="Z_BC5A6823_5BC7_40B2_A7CC_E07EE7079709_.wvu.Cols" localSheetId="0" hidden="1">'Лист1'!#REF!</definedName>
    <definedName name="Z_D4374A3A_19E4_40B8_AE92_A11592134308_.wvu.Cols" localSheetId="0" hidden="1">'Лист1'!#REF!</definedName>
  </definedNames>
  <calcPr fullCalcOnLoad="1"/>
</workbook>
</file>

<file path=xl/sharedStrings.xml><?xml version="1.0" encoding="utf-8"?>
<sst xmlns="http://schemas.openxmlformats.org/spreadsheetml/2006/main" count="4527" uniqueCount="779">
  <si>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</si>
  <si>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</si>
  <si>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505 9502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</si>
  <si>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</si>
  <si>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</si>
  <si>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17 февраля 2004 года № 7-ОЗ «О здравоохранении»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</si>
  <si>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</si>
  <si>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</si>
  <si>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Осуществление мер социальной поддержки граждан, имеющих почетные звания</t>
  </si>
  <si>
    <t>505 9603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</si>
  <si>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</si>
  <si>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</si>
  <si>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</si>
  <si>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</si>
  <si>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</si>
  <si>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Закон Кемеровской области «О мере социальной поддержки детей, страдающих онкологическими заболеваниями»</t>
  </si>
  <si>
    <t>Приобретение продуктов питания детям, страдающим онкологическими заболеваниями</t>
  </si>
  <si>
    <t>505 9901</t>
  </si>
  <si>
    <t>Муниципальная целевая программа "Обеспечение жильем молодых семей"</t>
  </si>
  <si>
    <t>795 0380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</si>
  <si>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</si>
  <si>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</si>
  <si>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</si>
  <si>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</si>
  <si>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Мероприятия по борьбе с беспризорностью, по опеке и попечительству</t>
  </si>
  <si>
    <t>5220000</t>
  </si>
  <si>
    <t>5226603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</si>
  <si>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</si>
  <si>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</si>
  <si>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</si>
  <si>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</si>
  <si>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</si>
  <si>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</si>
  <si>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</si>
  <si>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</si>
  <si>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</si>
  <si>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</si>
  <si>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</si>
  <si>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</si>
  <si>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</si>
  <si>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</si>
  <si>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</si>
  <si>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</si>
  <si>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</si>
  <si>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</si>
  <si>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Глава Беловского городского округа</t>
  </si>
  <si>
    <t>Муниципальная целевая программа " Детский сад 2012-2014гг"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</si>
  <si>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</si>
  <si>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</si>
  <si>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</si>
  <si>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</si>
  <si>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</si>
  <si>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4" Реабилилитация инвалидов"</t>
  </si>
  <si>
    <t>795 0334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</si>
  <si>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</si>
  <si>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</si>
  <si>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</si>
  <si>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</si>
  <si>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Долгосрочная целевая программа "Социально-экономическое развитие наций и народностей"</t>
  </si>
  <si>
    <t>522 5300</t>
  </si>
  <si>
    <t xml:space="preserve">Резервные фонды </t>
  </si>
  <si>
    <t>Резервный фонд Коллегии Администрации Кемеровской области</t>
  </si>
  <si>
    <t>0700000</t>
  </si>
  <si>
    <t>0700400</t>
  </si>
  <si>
    <t>7950050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</si>
  <si>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</si>
  <si>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</si>
  <si>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Муниципальная целевая программа "Доступная среда жизнедеятельности инвалидов"</t>
  </si>
  <si>
    <t>795 0340</t>
  </si>
  <si>
    <t>Межбюджетные трансферты</t>
  </si>
  <si>
    <t>Физическая культура</t>
  </si>
  <si>
    <t>Центры спортивной подготовки-сборные команды (учреждения физкультуры и спорта)</t>
  </si>
  <si>
    <t>482 9500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</si>
  <si>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</si>
  <si>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</si>
  <si>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</si>
  <si>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</si>
  <si>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482 9950</t>
  </si>
  <si>
    <t>Закупка товаров, работ, услуг в целях капитального ремонта государственного (муниципального) имущества</t>
  </si>
  <si>
    <t>7950600</t>
  </si>
  <si>
    <t>Субсидии автономным учреждениям  на финансовое обеспечение государственного (муниципального) задания на оказание государственных (муниципальных ) услуг (выполнение работ)</t>
  </si>
  <si>
    <t>423 9500</t>
  </si>
  <si>
    <t>Закупка товаров , работ и услуг в сфере информационно-коммуникационных технологий</t>
  </si>
  <si>
    <t>243</t>
  </si>
  <si>
    <t>Телевидение и радиовещание</t>
  </si>
  <si>
    <t>Субсидии телерадиокомпаниям и телерадиоорганизациям</t>
  </si>
  <si>
    <t>Муниципальная целевая программа" Пресса"( субсидии телерадиокомпаниям  и телерадиоорганизациям)</t>
  </si>
  <si>
    <t>453 0140</t>
  </si>
  <si>
    <t>Периодическая печать и издательства</t>
  </si>
  <si>
    <t>Периодическая печать</t>
  </si>
  <si>
    <t>Муниципальная целевая программа " Пресса" ( печать)</t>
  </si>
  <si>
    <t>456 0040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</si>
  <si>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</si>
  <si>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</si>
  <si>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</si>
  <si>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065 0300</t>
  </si>
  <si>
    <t>Обслуживание муниципального долга</t>
  </si>
  <si>
    <t>730</t>
  </si>
  <si>
    <t/>
  </si>
  <si>
    <t xml:space="preserve"> </t>
  </si>
  <si>
    <t>520 1800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</si>
  <si>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</si>
  <si>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</si>
  <si>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</si>
  <si>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</si>
  <si>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</t>
  </si>
  <si>
    <t>001 0011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</si>
  <si>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</si>
  <si>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</si>
  <si>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</si>
  <si>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</si>
  <si>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Беловского городского округа</t>
  </si>
  <si>
    <t>001 0012</t>
  </si>
  <si>
    <t>Депутаты( члены) Совета народных депутатов Беловского гор. округа</t>
  </si>
  <si>
    <t>001 0013</t>
  </si>
  <si>
    <t>Прочая закупка товаров, работ и услуг для государственных (муниципальных) нужд</t>
  </si>
  <si>
    <t>244</t>
  </si>
  <si>
    <t>Центральный аппарат Совета народных депутатов</t>
  </si>
  <si>
    <t>001 0400</t>
  </si>
  <si>
    <t>Закупка товаров, работ, услуг в сфере информационно-коммуникационных технологий</t>
  </si>
  <si>
    <t>242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</si>
  <si>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</si>
  <si>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</si>
  <si>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</si>
  <si>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 исполнительных органов местного самоуправления</t>
  </si>
  <si>
    <t>001 0014</t>
  </si>
  <si>
    <t>Иные выплаты персоналу, за исключением фонда оплаты труда</t>
  </si>
  <si>
    <t>122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</si>
  <si>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</si>
  <si>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</si>
  <si>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</si>
  <si>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</si>
  <si>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</si>
  <si>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</si>
  <si>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</si>
  <si>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05</t>
  </si>
  <si>
    <t>Составление (изменение и дополнение) списков кандидатов в присяжные заседатели федеральных судов  общей юрисдикции в Российской Федерации</t>
  </si>
  <si>
    <t>001 4000</t>
  </si>
  <si>
    <t>07</t>
  </si>
  <si>
    <t>Резервные фонды</t>
  </si>
  <si>
    <t>11</t>
  </si>
  <si>
    <t>Резервные фонды местных администраций</t>
  </si>
  <si>
    <t>070 0500</t>
  </si>
  <si>
    <t>Резервные средства</t>
  </si>
  <si>
    <t>870</t>
  </si>
  <si>
    <t>Другие общегосударственные вопросы</t>
  </si>
  <si>
    <t>13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</si>
  <si>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</si>
  <si>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</si>
  <si>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</si>
  <si>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</si>
  <si>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</si>
  <si>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</si>
  <si>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</si>
  <si>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 в г.Белово, финансируемых из бюджета городского округа</t>
  </si>
  <si>
    <t>092 0309</t>
  </si>
  <si>
    <t>Подпрограмма "Поддержка развития дошкольного образования"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</si>
  <si>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</si>
  <si>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</si>
  <si>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</si>
  <si>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</si>
  <si>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Содержание опорных пунктов охраны правопорядка</t>
  </si>
  <si>
    <t>092 0319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</si>
  <si>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учебы</t>
  </si>
  <si>
    <t>Финансовое обеспечение наградной системы</t>
  </si>
  <si>
    <t>092 0321</t>
  </si>
  <si>
    <t>4699909</t>
  </si>
  <si>
    <t>0920321</t>
  </si>
  <si>
    <t>7950331</t>
  </si>
  <si>
    <t>7950332</t>
  </si>
  <si>
    <t>Субсидии бюджетным учреждениям на иные цели</t>
  </si>
  <si>
    <t>612</t>
  </si>
  <si>
    <t>Безвозмездные перечисления государственным и муниципальным организациям</t>
  </si>
  <si>
    <t>Иные безвозмездные  и безвозвратные перечисления</t>
  </si>
  <si>
    <t xml:space="preserve">Проведение социально значимых мероприятий </t>
  </si>
  <si>
    <t>Обеспечение деятельности подведомственных учреждений</t>
  </si>
  <si>
    <t>Обеспечение деятельности подведомственных учреждений, финансируемых из бюджета городского округа</t>
  </si>
  <si>
    <t>093 9909</t>
  </si>
  <si>
    <t>111</t>
  </si>
  <si>
    <t>Муниципальная целевая программа "Замена лифтов, отработавших нормативный срок эксплуатации"</t>
  </si>
  <si>
    <t>Муниципальная целевая программа "Безопасный город Белово"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</si>
  <si>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</si>
  <si>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</si>
  <si>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</si>
  <si>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</si>
  <si>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112</t>
  </si>
  <si>
    <t>5227500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</si>
  <si>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</si>
  <si>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</si>
  <si>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</si>
  <si>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Организация  других функций, связанных с обеспечением национальной безопасности и правоохранительной деятельности</t>
  </si>
  <si>
    <t>247 9900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</si>
  <si>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</si>
  <si>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</si>
  <si>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</si>
  <si>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</si>
  <si>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</si>
  <si>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</si>
  <si>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</si>
  <si>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Иные безвозмездные и безвозвратные перечисления</t>
  </si>
  <si>
    <t>Реализация программ местного развития и обеспечение занятости для шахтерских городов и поселков</t>
  </si>
  <si>
    <t>520 0100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</si>
  <si>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</si>
  <si>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</si>
  <si>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</si>
  <si>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</si>
  <si>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</si>
  <si>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</si>
  <si>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</si>
  <si>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</si>
  <si>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4329920</t>
  </si>
  <si>
    <t>Закупка товаров ,работ и услуг всфере информационно-коммуникационных технологий</t>
  </si>
  <si>
    <t>477 9909</t>
  </si>
  <si>
    <t>Обеспечение деятельности подведомственных учреждений (ЦБ и др.).финансируемых из бюджета городского округа</t>
  </si>
  <si>
    <t>4529900</t>
  </si>
  <si>
    <t>4529909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</si>
  <si>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</si>
  <si>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</si>
  <si>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 xml:space="preserve"> от 20.12.2012г № 60/425-н</t>
  </si>
  <si>
    <t>340 0300</t>
  </si>
  <si>
    <t>Уплата налога на имущество  организаций и земельного налога</t>
  </si>
  <si>
    <t>340 9500</t>
  </si>
  <si>
    <t>340 9900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</si>
  <si>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</si>
  <si>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</si>
  <si>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1000000</t>
  </si>
  <si>
    <t>Жилищно-коммунальное хозяйство</t>
  </si>
  <si>
    <t>Жилищное хозяйство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</si>
  <si>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</si>
  <si>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</si>
  <si>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Социально-экономическое развитие муниципального образования "город Белово" на 2011 год</t>
  </si>
  <si>
    <t>520 6700</t>
  </si>
  <si>
    <t>Долгосрочные целевые программы</t>
  </si>
  <si>
    <t>Подпрограмма Капитальный ремонт и замена лифтов, установленных в многоквартирных домах и отработавших нормативный срок</t>
  </si>
  <si>
    <t>522 8501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</si>
  <si>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</si>
  <si>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</si>
  <si>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</si>
  <si>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</si>
  <si>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795 0400</t>
  </si>
  <si>
    <t>Коммунальное хозяйство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</si>
  <si>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</si>
  <si>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</si>
  <si>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</si>
  <si>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</si>
  <si>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Подготовка к зиме</t>
  </si>
  <si>
    <t>353 0501</t>
  </si>
  <si>
    <t>Компенсации затрат от содержания бань</t>
  </si>
  <si>
    <t>353 0502</t>
  </si>
  <si>
    <t xml:space="preserve">содержание спецбригады по захоронению трупов </t>
  </si>
  <si>
    <t>353 0503</t>
  </si>
  <si>
    <t>Субсидии , за исключением субсидий на софинансирование объектов капитального строительства  государственной собственности и муниципальной собственности</t>
  </si>
  <si>
    <t>Субсидии некоммерческим организациям (за исключением государственных (муниципальных) учреждений)</t>
  </si>
  <si>
    <t>630</t>
  </si>
  <si>
    <t>Прочие мероприятия в коммунальном хозяйстве</t>
  </si>
  <si>
    <t>353 0504</t>
  </si>
  <si>
    <t>Региональная целевая программа " Модернизация  объектов комм инфраструктуры и обеспечение энергетической эффективности и энергосбережения  на территории Кемероской области"</t>
  </si>
  <si>
    <t>Подпрограмма "Подготовка к зиме"</t>
  </si>
  <si>
    <t>522 6804</t>
  </si>
  <si>
    <t>Муниципальная целевая программа" Водоснабжение и инженерная защита от подтопления города Белово"</t>
  </si>
  <si>
    <t>795 0350</t>
  </si>
  <si>
    <t>Благоустройство</t>
  </si>
  <si>
    <t>Региональная целевая программа "Борьба с преступностью, профилактика правонарушений и обеспечение безопасности дорожного движения в Кемеровской области"</t>
  </si>
  <si>
    <t>4530140</t>
  </si>
  <si>
    <t>ДЦП "Развитие субъектов малого и среднего предпринимательства в г.Белово"</t>
  </si>
  <si>
    <t>3450100</t>
  </si>
  <si>
    <t>3520200</t>
  </si>
  <si>
    <t>Субсидии юридическим лицам кроме государственных (муниципальных) учреждений и физическим лицам- производителям товаров, работ, услуг</t>
  </si>
  <si>
    <t>5228501</t>
  </si>
  <si>
    <t>3530100</t>
  </si>
  <si>
    <t>3530400</t>
  </si>
  <si>
    <t>Субсидии автономным учреждениям на финансовое обеспечени государственного (муниципального) задания на оказание государственных (муниципальных) услуг (выполнение работ)</t>
  </si>
  <si>
    <t>3530502</t>
  </si>
  <si>
    <t>5226804</t>
  </si>
  <si>
    <t>7950350</t>
  </si>
  <si>
    <t>7950390</t>
  </si>
  <si>
    <t>5220501</t>
  </si>
  <si>
    <t>5053401</t>
  </si>
  <si>
    <t>исполнение судебных актов</t>
  </si>
  <si>
    <t>Долгосроччные целевые программы</t>
  </si>
  <si>
    <t>522 6000</t>
  </si>
  <si>
    <t>Долгосрочная целевыя программа "Поддержка реализации административной реформы , повышения доступности  государственных и муниципальных услуг и эффективности муниципального управления в Кемеровской области"</t>
  </si>
  <si>
    <t>Подпрограмма Повышение безопасности дорожного движения</t>
  </si>
  <si>
    <t>522 7501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</si>
  <si>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</si>
  <si>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</si>
  <si>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на софинансирование мероприятий социально-экономического развития муниципального образования "город Белово"</t>
  </si>
  <si>
    <t>600 0050</t>
  </si>
  <si>
    <t>415</t>
  </si>
  <si>
    <t xml:space="preserve">   -бюджетные инвестиции в объекты государственной (муниципальной) собственности автономным  учреждениям вне рамок государственного оборонного заказа</t>
  </si>
  <si>
    <t>3530501</t>
  </si>
  <si>
    <t>0923400</t>
  </si>
  <si>
    <t>0953400</t>
  </si>
  <si>
    <t>Подпрограмма "Энергосбережение и повышение энергетической эффективности на период до 2020 года"</t>
  </si>
  <si>
    <t>505 8609</t>
  </si>
  <si>
    <t>Подпрограмма "Обеспеченик жильем социалных категорий граждан, установленных Законодательством Кемеровской области"</t>
  </si>
  <si>
    <t>522 0501</t>
  </si>
  <si>
    <t xml:space="preserve">Резервный фонд </t>
  </si>
  <si>
    <t>352 0200</t>
  </si>
  <si>
    <t xml:space="preserve">Капитальнй ремонт муниципального жилого фонда </t>
  </si>
  <si>
    <t>Прочие мероприятия в жилищном хозяйстве</t>
  </si>
  <si>
    <t>352 0300</t>
  </si>
  <si>
    <t>621</t>
  </si>
  <si>
    <t>Субсидии автономным 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</si>
  <si>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Комп. вып. доходов организ.,предост. насел.услуги электроснабжения.по тарифам,не обеспечивающим возмещение издержек</t>
  </si>
  <si>
    <t>353 0100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</si>
  <si>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</si>
  <si>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</t>
  </si>
  <si>
    <t xml:space="preserve">  - безвозмездных перечислений из обл.б-та по Расп.КАКО №165-р стр-во кварт."Сосновый"</t>
  </si>
  <si>
    <t>Уличное освещение</t>
  </si>
  <si>
    <t>600 0100</t>
  </si>
  <si>
    <t>Строительство и содержание дорог</t>
  </si>
  <si>
    <t>600 0200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</si>
  <si>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</si>
  <si>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</si>
  <si>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</si>
  <si>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</si>
  <si>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</si>
  <si>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</si>
  <si>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Другие вопросы в области жилищно-коммунального хозяйства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</si>
  <si>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</si>
  <si>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</si>
  <si>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Образование</t>
  </si>
  <si>
    <t>Дошкольное образование</t>
  </si>
  <si>
    <t>Подпрограмма "Комплексное освоение территорий в целях жилищного строительства"</t>
  </si>
  <si>
    <t>5220506</t>
  </si>
  <si>
    <t>Подпрограмма "Чистая вада"</t>
  </si>
  <si>
    <t>5220300</t>
  </si>
  <si>
    <t>ДЦП "Жилище"</t>
  </si>
  <si>
    <t>Подпрограмма "Обеспеченик жильем молодых семей"</t>
  </si>
  <si>
    <t>5220504</t>
  </si>
  <si>
    <t>1008820</t>
  </si>
  <si>
    <t>5206700</t>
  </si>
  <si>
    <t>Социально-экономическое развитие муниципального образования "город Белово" на 2012 год</t>
  </si>
  <si>
    <t>7950400</t>
  </si>
  <si>
    <t>Детские дошкольные учреждения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</si>
  <si>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</si>
  <si>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</si>
  <si>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Обеспечение деятельности подведомственных  учреждений(ДОУ),финансируемых из бюджета городского округа</t>
  </si>
  <si>
    <t>420 9909</t>
  </si>
  <si>
    <t>Социально-экономическое развитие г.Белово финансируемое за счет местного бюджета</t>
  </si>
  <si>
    <t>420 9950</t>
  </si>
  <si>
    <t>420 9960</t>
  </si>
  <si>
    <t>Стимулирование оплаты труда воспитателей , младших воспитателей учредений дошкольного образования</t>
  </si>
  <si>
    <t>520 6000</t>
  </si>
  <si>
    <t xml:space="preserve">                                                                                   от 22.12.2011г  № 49/275-н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</si>
  <si>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</si>
  <si>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</si>
  <si>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</si>
  <si>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</si>
  <si>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</si>
  <si>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</si>
  <si>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</si>
  <si>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</si>
  <si>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</si>
  <si>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</si>
  <si>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</si>
  <si>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</si>
  <si>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421 9950</t>
  </si>
  <si>
    <t>Школы-интернаты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</si>
  <si>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</si>
  <si>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</si>
  <si>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</si>
  <si>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436  2100</t>
  </si>
  <si>
    <t>436  2000</t>
  </si>
  <si>
    <t xml:space="preserve">                                                                                </t>
  </si>
  <si>
    <t>422 9901</t>
  </si>
  <si>
    <t>Социальная поддержка детей-сирот и детей, оставшихся без попечения родителей, содержащихся (обучающихся и (или) воспитывающихся) в образовательных учреждениях для детей-сирот и детей, оставшихся без попечения родителей</t>
  </si>
  <si>
    <t>422 9902</t>
  </si>
  <si>
    <t>Учреждения по внешкольной работе с детьми</t>
  </si>
  <si>
    <t>423 9509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</si>
  <si>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</si>
  <si>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</si>
  <si>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</si>
  <si>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Уплата налога на имущество организаций и земельного налога, финансируемое из бюджета городского округа</t>
  </si>
  <si>
    <t>424 9509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</si>
  <si>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</si>
  <si>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</si>
  <si>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</si>
  <si>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</si>
  <si>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Мероприятия по проведению оздоровительной кампании детей</t>
  </si>
  <si>
    <t>432 0000</t>
  </si>
  <si>
    <t>Ежемесячное денежное вознаграждение за классное руководство</t>
  </si>
  <si>
    <t>520 0900</t>
  </si>
  <si>
    <t>Региональная целевая программаРазвитие системы образования  и повышение уровня потребности в образовании населения Кемеровской области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</si>
  <si>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</si>
  <si>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</si>
  <si>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</si>
  <si>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</si>
  <si>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 xml:space="preserve"> -обеспечение мероприятий по    капитальному ремонту многоквартирных домов  </t>
  </si>
  <si>
    <t xml:space="preserve"> -обеспечение мероприятий по переселению граждан из аварийного жилищного фонда  </t>
  </si>
  <si>
    <t xml:space="preserve"> -обеспечение мероприятий по  капитальному ремонту многоквартирных домов </t>
  </si>
  <si>
    <t xml:space="preserve"> -обеспечение мероприятий  переселению граждан из аварийного жилищного фонда 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</si>
  <si>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</si>
  <si>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</si>
  <si>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</si>
  <si>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</si>
  <si>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</si>
  <si>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Организационно-воспитательная работа с молодежью</t>
  </si>
  <si>
    <t>Уплата налога на имущество  организаций и земельного налога, финансируемое из бюджета городского округа</t>
  </si>
  <si>
    <t>431 9509</t>
  </si>
  <si>
    <t>Обеспечение деятельности подведомственных учреждений( оргганизационно-воспитательная работа с молодежью), финансируемых  из бюджета городского округа</t>
  </si>
  <si>
    <t>431 9909</t>
  </si>
  <si>
    <t>Стипендии</t>
  </si>
  <si>
    <t>Подпрограмма "Переселение граждан из ветхого и аварийного жилья"</t>
  </si>
  <si>
    <t>411</t>
  </si>
  <si>
    <t>5220502</t>
  </si>
  <si>
    <t>Бюджетные инвестиции в объекты государственной  собственности казенным учреждениям вне рамок государственного оборонного заказа</t>
  </si>
  <si>
    <t>14</t>
  </si>
  <si>
    <t>5227501</t>
  </si>
  <si>
    <t>МЦП "Капитальный ремонт жилого фонда" "</t>
  </si>
  <si>
    <t>6000500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</si>
  <si>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</si>
  <si>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</si>
  <si>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 xml:space="preserve">                                      к решению сессии Беловского городского Совета народных депутатов</t>
  </si>
  <si>
    <t xml:space="preserve">           О внесении изменений и дополнений в решение от 22.12.2011г. № 49/275-н</t>
  </si>
  <si>
    <t xml:space="preserve">                                      "Об утверждении бюджета Беловского городского округа на 2012г</t>
  </si>
  <si>
    <t>7950300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</si>
  <si>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</si>
  <si>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431 9950</t>
  </si>
  <si>
    <t>432 9920</t>
  </si>
  <si>
    <t>520 7900</t>
  </si>
  <si>
    <t>5207900</t>
  </si>
  <si>
    <t>5200000</t>
  </si>
  <si>
    <t>440 0900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</si>
  <si>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</si>
  <si>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</si>
  <si>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Подпрограмма "Молодежь Кузбасса"</t>
  </si>
  <si>
    <t>522 7202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</si>
  <si>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</si>
  <si>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</si>
  <si>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452 9509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</si>
  <si>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</si>
  <si>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</si>
  <si>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</si>
  <si>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</si>
  <si>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Культура, кинематография, средства массовой информации</t>
  </si>
  <si>
    <t>08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</si>
  <si>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</si>
  <si>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</si>
  <si>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</si>
  <si>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</si>
  <si>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440 9509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</si>
  <si>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</si>
  <si>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</si>
  <si>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Обеспечение деятельности подведомственных учреждений(ССМП) финансируемых из бюджета городского округа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</si>
  <si>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</si>
  <si>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</si>
  <si>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Социально-экономическое развитие г.Белово финансируемое из бюджета городского округа</t>
  </si>
  <si>
    <t>440 9950</t>
  </si>
  <si>
    <t>Музеи и постоянные выставки</t>
  </si>
  <si>
    <t>441 9509</t>
  </si>
  <si>
    <t>422 9909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</si>
  <si>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</si>
  <si>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</si>
  <si>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</si>
  <si>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442 9509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</si>
  <si>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</si>
  <si>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</si>
  <si>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</si>
  <si>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Приложение  № 2</t>
  </si>
  <si>
    <t>520 7000</t>
  </si>
  <si>
    <t>Региональная целевая программа "Культура Кузбасса"</t>
  </si>
  <si>
    <t>522 5100</t>
  </si>
  <si>
    <t>Другие вопросы в области культуры, кинематографии</t>
  </si>
  <si>
    <t>Здравоохранение, физическая культура и спорт</t>
  </si>
  <si>
    <t>Стационарная медицинская помощь</t>
  </si>
  <si>
    <t>Реализация программы модернизации здравоохранения субъектов РФ в части укрепления материально-технической базы медицинских учреждений</t>
  </si>
  <si>
    <t>096 0100</t>
  </si>
  <si>
    <t>Больницы, клиники, госпитали, медико-санитарные части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</si>
  <si>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</si>
  <si>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</si>
  <si>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470 9950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</si>
  <si>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</si>
  <si>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</si>
  <si>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Муниципальная целевая программа  "Медицинские кадры"</t>
  </si>
  <si>
    <t>Амбулаторная помощь</t>
  </si>
  <si>
    <t>7950430</t>
  </si>
  <si>
    <t>Реализация программ модернизации здравоохранения субъектов Российской Федерации в части внедрения современных информационных систем здравоохранение в целях перехода на полисы обязательного медицинского страхования единого образца</t>
  </si>
  <si>
    <t>096 0200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</si>
  <si>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</si>
  <si>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</si>
  <si>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470 9992</t>
  </si>
  <si>
    <t>Поликлиники, амбулатории, диагностические центры</t>
  </si>
  <si>
    <t>Обеспечение деятельности подведомственных учреждений (поликлиники..), финансируемых из бюджета городского округа</t>
  </si>
  <si>
    <t>471 9909</t>
  </si>
  <si>
    <t>471 9950</t>
  </si>
  <si>
    <t>471 9992</t>
  </si>
  <si>
    <t>Социальная помощь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</si>
  <si>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</si>
  <si>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</si>
  <si>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600</t>
  </si>
  <si>
    <t>Субсидии на содержание смотрителей кладбищ</t>
  </si>
  <si>
    <t>6000050</t>
  </si>
  <si>
    <t>Меры социальной поддержки населения по публичным нормативным обязательствам</t>
  </si>
  <si>
    <t>314</t>
  </si>
  <si>
    <t>Выплата денежного содержания фельдшерам. занимающим должности врачей-терапевтов  участковых, врачей-педиатров участковых городских округов  и муниципальных районов  Кемеровской области</t>
  </si>
  <si>
    <t>520 6100</t>
  </si>
  <si>
    <t>Медицинская помощь в дневных стационарах всех типов</t>
  </si>
  <si>
    <t>3530504</t>
  </si>
  <si>
    <t>МЦП "Безопасный город"</t>
  </si>
  <si>
    <t>7950500</t>
  </si>
  <si>
    <t>Скорая медицинская помощь</t>
  </si>
  <si>
    <t>Станции скорой неотложной помощи</t>
  </si>
  <si>
    <t>477 9950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</si>
  <si>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(средства областного бюджета)</t>
  </si>
  <si>
    <t>Другие вопросы в области здравоохранения</t>
  </si>
  <si>
    <t>Реализация государственных функций в области здравоохранения, cпорта и туризма</t>
  </si>
  <si>
    <t>Реализация государственных функций в области здравоохранения</t>
  </si>
  <si>
    <t>485 9700</t>
  </si>
  <si>
    <t xml:space="preserve"> за счет безвозмездных перечислений из обл.б-та по Расп.КАКО №165-р </t>
  </si>
  <si>
    <t xml:space="preserve"> за счет резервного фонда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</si>
  <si>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</si>
  <si>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</si>
  <si>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Социальная политика</t>
  </si>
  <si>
    <t>10</t>
  </si>
  <si>
    <t>Пенсионное обеспечение</t>
  </si>
  <si>
    <t>Пенсии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</si>
  <si>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</si>
  <si>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</si>
  <si>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</si>
  <si>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</si>
  <si>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</si>
  <si>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</si>
  <si>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(тыс. руб.)</t>
  </si>
  <si>
    <t>Условно утвержденные расходы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</si>
  <si>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</si>
  <si>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</si>
  <si>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Модернизация региональной системы  общего образования</t>
  </si>
  <si>
    <t>436  0000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</si>
  <si>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</si>
  <si>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</si>
  <si>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</si>
  <si>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</si>
  <si>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Социальное обеспечение населения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</si>
  <si>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</si>
  <si>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</si>
  <si>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Пособия и компенсации по публичным нормативным обязательствам</t>
  </si>
  <si>
    <t>313</t>
  </si>
  <si>
    <t>Уплата налога на имущество организации и земельного налога</t>
  </si>
  <si>
    <t>3409900</t>
  </si>
  <si>
    <t>5227108</t>
  </si>
  <si>
    <t>360</t>
  </si>
  <si>
    <t>Иные выплаты населению</t>
  </si>
  <si>
    <t>Пособия по социальной помощи населению</t>
  </si>
  <si>
    <t>Закупка товаров ,работ, услуг в целях капитального ремонта государственного (муниципального) имущества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</si>
  <si>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</si>
  <si>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</si>
  <si>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</si>
  <si>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</si>
  <si>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</si>
  <si>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</si>
  <si>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</si>
  <si>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522 6100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</si>
  <si>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</t>
  </si>
  <si>
    <t>Обеспечение жильем отдельных категорий граждан, установленных ФЗ от 12.01.1995 г 5-ФЗ "О ветеранах", в соответствии с Указом Президента РФ от 07.05.2008г 714 "Об обеспечении жильем ветеранов ВОВ 1941-1945 годов"</t>
  </si>
  <si>
    <t>505 3401</t>
  </si>
  <si>
    <t>Субсидии гражданам на приобретение жилья</t>
  </si>
  <si>
    <t>322</t>
  </si>
  <si>
    <t>522</t>
  </si>
  <si>
    <t>795 0410</t>
  </si>
  <si>
    <t>830</t>
  </si>
  <si>
    <t>Долгосрочная целевая программа "Молодежь Кузбасса.Развитие спорта и туризма в Кемеровской области"</t>
  </si>
  <si>
    <t>5227200</t>
  </si>
  <si>
    <t>Подпрограмма "развитие физической культуры и спорта в Кемеровской области"</t>
  </si>
  <si>
    <t>5227201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</si>
  <si>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</si>
  <si>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505 3402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</si>
  <si>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</si>
  <si>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</si>
  <si>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795 0500</t>
  </si>
  <si>
    <t>Оплата жилищно-коммунальных услуг отдельным категориям граждан</t>
  </si>
  <si>
    <t>505 4600</t>
  </si>
  <si>
    <t>Обеспечение мероприятий по капитальному ремонту многоквартирных домов и переселению граждан из аварийного жилищного фонда по ФЗ №185-ФЗ</t>
  </si>
  <si>
    <t>0980000</t>
  </si>
  <si>
    <t>0980100</t>
  </si>
  <si>
    <t>0980102</t>
  </si>
  <si>
    <t>0980101</t>
  </si>
  <si>
    <t xml:space="preserve">субсидии юридическим лицам </t>
  </si>
  <si>
    <t>0980200</t>
  </si>
  <si>
    <t>0980202</t>
  </si>
  <si>
    <t>0980201</t>
  </si>
  <si>
    <t>субсидии юридическим лицам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</si>
  <si>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</si>
  <si>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7950320</t>
  </si>
  <si>
    <t xml:space="preserve">   -бюджетные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</si>
  <si>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0700500</t>
  </si>
  <si>
    <t>Предоставление гражданам субсидий на оплату жилого помещения и коммунальных услуг</t>
  </si>
  <si>
    <t>505 4802</t>
  </si>
  <si>
    <t>Ежемесячное пособе на ребенка (средства областного бюджета)</t>
  </si>
  <si>
    <t>505 5512</t>
  </si>
  <si>
    <t>Обеспечение мер социальной поддержки ветеранов труда</t>
  </si>
  <si>
    <t>505 5521</t>
  </si>
  <si>
    <t>Приобретение товаров, работ, услуг в пользу граждан</t>
  </si>
  <si>
    <t>323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</si>
  <si>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</si>
  <si>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</si>
  <si>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</si>
  <si>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</si>
  <si>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Муниципальная целевая программа "Организация отдыха оздоровления и занятости детей и подростков, сохранение сети учреждений отдыха на период "</t>
  </si>
  <si>
    <t>Муниципальная целевая программа "Иммунопрофилактика"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</si>
  <si>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</si>
  <si>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</si>
  <si>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Меры социальной поддержки инвалидов</t>
  </si>
  <si>
    <t>505 7001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</si>
  <si>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</si>
  <si>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</si>
  <si>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505 7101</t>
  </si>
  <si>
    <t>Закон Кемеровской области "О ежемесячной денежной выплате на хлеб отдельной категории граждан"</t>
  </si>
  <si>
    <t>Ежемесячная денежная выплата на хлеб отдельной категории граждан</t>
  </si>
  <si>
    <t>505 7301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</si>
  <si>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</si>
  <si>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</si>
  <si>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</si>
  <si>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к решению сессии Беловского городского Совета народных депутатов</t>
  </si>
  <si>
    <t>Приложение  № 6</t>
  </si>
  <si>
    <t xml:space="preserve">            Распределение бюджетных ассигнований по по разделам, подразделам, целевым статьям </t>
  </si>
  <si>
    <t xml:space="preserve">                          и видам расходов классификации расходов бюджета на 2012 год </t>
  </si>
  <si>
    <t xml:space="preserve">                                                     и на плановый период 2013 и 2014 годов</t>
  </si>
  <si>
    <t xml:space="preserve">                                                                               "Об утверждении бюджета Беловского городского округа на 2012 год</t>
  </si>
  <si>
    <t xml:space="preserve">                                                                                                  и на плановый период 2013 и 2014 годов"</t>
  </si>
  <si>
    <t xml:space="preserve">                                                    </t>
  </si>
  <si>
    <t>Закон Кемеровской области от 8 апреля 2008 года №14-ОЗ "О мерах социальной поддержки отдельных категорий многодетных матерей"</t>
  </si>
  <si>
    <t>Меры социальной поддержки отдельных категорий многодетных матерей</t>
  </si>
  <si>
    <t>505 7901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</si>
  <si>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</si>
  <si>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</si>
  <si>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</si>
  <si>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</si>
  <si>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</si>
  <si>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</si>
  <si>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</si>
  <si>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</si>
  <si>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</si>
  <si>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18 июля 2006 года № 111-ОЗ «О социальной поддержке отдельных категорий семей, имеющих детей»</t>
  </si>
  <si>
    <t>Компенсация отдельным категориям семей, имеющих детей</t>
  </si>
  <si>
    <t>505 8601</t>
  </si>
  <si>
    <t>Долгосрочная целевая программа "Развитие инфраструктуры жизнеобеспечения населения Кемеровской области"</t>
  </si>
  <si>
    <t>5226600</t>
  </si>
  <si>
    <t>Закон Кемеровской области от 12 декабря 2006 года № 156-ОЗ «О денежной выплате отдельным категориям граждан»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</si>
  <si>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</si>
  <si>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</si>
  <si>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</si>
  <si>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Назначение и выплата пенсий Кемеровской области</t>
  </si>
  <si>
    <t>505 8801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</si>
  <si>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</si>
  <si>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</si>
  <si>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505 8901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</si>
  <si>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</si>
  <si>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ДЦП"Развитие субъектов малого и среднего предпринимательства в Кемеровской области"</t>
  </si>
  <si>
    <t>5220900</t>
  </si>
  <si>
    <t>5052101</t>
  </si>
  <si>
    <t>6000200</t>
  </si>
  <si>
    <t>5056500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</si>
  <si>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</si>
  <si>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</si>
  <si>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2012 год</t>
  </si>
  <si>
    <t>2013 год</t>
  </si>
  <si>
    <t>2014 год</t>
  </si>
  <si>
    <t>Раздел</t>
  </si>
  <si>
    <t>Подраздел</t>
  </si>
  <si>
    <t>Целевая статья</t>
  </si>
  <si>
    <t>Вид расхода</t>
  </si>
  <si>
    <t>001 0000</t>
  </si>
  <si>
    <t xml:space="preserve">001 0000 </t>
  </si>
  <si>
    <t xml:space="preserve">070 0000 </t>
  </si>
  <si>
    <t>092 0000</t>
  </si>
  <si>
    <t>093 9900</t>
  </si>
  <si>
    <t>247 0000</t>
  </si>
  <si>
    <t>248 0000</t>
  </si>
  <si>
    <t xml:space="preserve">520 0000 </t>
  </si>
  <si>
    <t>340 0000</t>
  </si>
  <si>
    <t xml:space="preserve">795 0000 </t>
  </si>
  <si>
    <t>Муниципальные целевые программы</t>
  </si>
  <si>
    <t>520 0000</t>
  </si>
  <si>
    <t xml:space="preserve">522 0000 </t>
  </si>
  <si>
    <t>795 0000</t>
  </si>
  <si>
    <t>795 0300</t>
  </si>
  <si>
    <t xml:space="preserve">353 0000 </t>
  </si>
  <si>
    <t>поддержка коммунального хозяйства</t>
  </si>
  <si>
    <t>353 0500</t>
  </si>
  <si>
    <t>мероприятия в области коммунального хозяйства</t>
  </si>
  <si>
    <t>522 7500</t>
  </si>
  <si>
    <t xml:space="preserve">600 0000 </t>
  </si>
  <si>
    <t xml:space="preserve">420 0000 </t>
  </si>
  <si>
    <t>420 9900</t>
  </si>
  <si>
    <t>421 0000</t>
  </si>
  <si>
    <t>421 9900</t>
  </si>
  <si>
    <t>422 0000</t>
  </si>
  <si>
    <t>422 9900</t>
  </si>
  <si>
    <t>423 9900</t>
  </si>
  <si>
    <t xml:space="preserve">423 0000 </t>
  </si>
  <si>
    <t xml:space="preserve">424 0000 </t>
  </si>
  <si>
    <t>424 9900</t>
  </si>
  <si>
    <t xml:space="preserve">432 0000 </t>
  </si>
  <si>
    <t>522 7100</t>
  </si>
  <si>
    <t xml:space="preserve">429 0000 </t>
  </si>
  <si>
    <t xml:space="preserve">431 0000 </t>
  </si>
  <si>
    <t>431 9900</t>
  </si>
  <si>
    <t>432 9900</t>
  </si>
  <si>
    <t>Муниципальная целевая программа "Организация отдыха оздоровления и занятости детей и подростков, сохранение сети учреждений отдыха"</t>
  </si>
  <si>
    <t>Региональная целевая программа Развитие системы образования  и повышение уровня потребности в образовании населения Кемеровской области</t>
  </si>
  <si>
    <t>452 0000</t>
  </si>
  <si>
    <t>452 9900</t>
  </si>
  <si>
    <t>482 0000</t>
  </si>
  <si>
    <t>482 9900</t>
  </si>
  <si>
    <t>452 7104</t>
  </si>
  <si>
    <t>Средства массовой информации</t>
  </si>
  <si>
    <t>453 0100</t>
  </si>
  <si>
    <t>456 0000</t>
  </si>
  <si>
    <t>Обслуживание государственного и муниципального долга</t>
  </si>
  <si>
    <t>065 0000</t>
  </si>
  <si>
    <t>423 0000</t>
  </si>
  <si>
    <t>Муниципальная целевая программа "Организация отдыха оздоровления и занятости детей и подростков, сохранение сети учреждений отдыха "</t>
  </si>
  <si>
    <t xml:space="preserve">440 0000 </t>
  </si>
  <si>
    <t>440 9500</t>
  </si>
  <si>
    <t>795 0600</t>
  </si>
  <si>
    <t>440 9900</t>
  </si>
  <si>
    <t xml:space="preserve">441 0000 </t>
  </si>
  <si>
    <t>441 9500</t>
  </si>
  <si>
    <t>441 9900</t>
  </si>
  <si>
    <t>442 0000</t>
  </si>
  <si>
    <t>442 9500</t>
  </si>
  <si>
    <t>442 9900</t>
  </si>
  <si>
    <t>522 0000</t>
  </si>
  <si>
    <t>470 0000</t>
  </si>
  <si>
    <t>470 9900</t>
  </si>
  <si>
    <t xml:space="preserve">470 0000 </t>
  </si>
  <si>
    <t xml:space="preserve">Муниципальная целевая программа "Иммунопрофилактика" </t>
  </si>
  <si>
    <t xml:space="preserve">471 0000 </t>
  </si>
  <si>
    <t>471 9900</t>
  </si>
  <si>
    <t xml:space="preserve">505 0000 </t>
  </si>
  <si>
    <t>477 0000</t>
  </si>
  <si>
    <t>477 9900</t>
  </si>
  <si>
    <t>485 0000</t>
  </si>
  <si>
    <t>490 0000</t>
  </si>
  <si>
    <t>907 0000</t>
  </si>
  <si>
    <t>907 9900</t>
  </si>
  <si>
    <t>505 0000</t>
  </si>
  <si>
    <t>505 2900</t>
  </si>
  <si>
    <t>505 3400</t>
  </si>
  <si>
    <t>505 5500</t>
  </si>
  <si>
    <t>Реализация мер социальной поддержки отдельных категорий граждан</t>
  </si>
  <si>
    <t>Закон Кемеровской области от 14 февраля 2005 года № 25-ОЗ «О социальной поддержке инвалидов»</t>
  </si>
  <si>
    <t>505 7000</t>
  </si>
  <si>
    <t>505 7100</t>
  </si>
  <si>
    <t>505 7300</t>
  </si>
  <si>
    <t>505 7800</t>
  </si>
  <si>
    <t>505 7900</t>
  </si>
  <si>
    <t>505 8200</t>
  </si>
  <si>
    <t>505 8400</t>
  </si>
  <si>
    <t>505 8500</t>
  </si>
  <si>
    <t>505 8600</t>
  </si>
  <si>
    <t>505 8700</t>
  </si>
  <si>
    <t>505 8800</t>
  </si>
  <si>
    <t>505 8900</t>
  </si>
  <si>
    <t>505 9000</t>
  </si>
  <si>
    <t>505 9100</t>
  </si>
  <si>
    <t>505 9200</t>
  </si>
  <si>
    <t>505 9300</t>
  </si>
  <si>
    <t>505 9500</t>
  </si>
  <si>
    <t>505 9600</t>
  </si>
  <si>
    <t>505 9700</t>
  </si>
  <si>
    <t>505 9900</t>
  </si>
  <si>
    <t>505 0500</t>
  </si>
  <si>
    <t>511 0000</t>
  </si>
  <si>
    <t>520 6600</t>
  </si>
  <si>
    <t>Муниципальная целевая программа "Социальная поддержка населения г.Белово"</t>
  </si>
  <si>
    <t>Итого</t>
  </si>
  <si>
    <t>Закон Кемеровской области от 14 февраля 2005 года № 26-ОЗ «О культуре»</t>
  </si>
  <si>
    <t>Меры социальной поддержки отдельных категорий работников культуры</t>
  </si>
  <si>
    <t>505 9101</t>
  </si>
  <si>
    <t>Закон Кемеровской области от 28 декабря 2000 года № 110-ОЗ «Об образовании в Кемеровской области»</t>
  </si>
  <si>
    <t>Меры социальной поддержки участников образовательного процесса</t>
  </si>
  <si>
    <t>505 9201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</si>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</sst>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"/>
    <numFmt numFmtId="166" formatCode="0.0"/>
    <numFmt numFmtId="167" formatCode="0.00000"/>
    <numFmt numFmtId="168" formatCode="0.000"/>
    <numFmt numFmtId="169" formatCode="0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3" applyFill="0" applyProtection="0">
      <alignment horizontal="center" vertical="center" wrapText="1"/>
    </xf>
    <xf numFmtId="0" fontId="12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1" fillId="0" borderId="3">
      <alignment vertical="top"/>
      <protection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49" fontId="1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20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right" vertical="top"/>
    </xf>
    <xf numFmtId="0" fontId="27" fillId="0" borderId="3" xfId="0" applyFont="1" applyBorder="1" applyAlignment="1">
      <alignment horizontal="center" vertical="center" wrapText="1"/>
    </xf>
    <xf numFmtId="49" fontId="26" fillId="0" borderId="3" xfId="0" applyNumberFormat="1" applyFont="1" applyBorder="1" applyAlignment="1" quotePrefix="1">
      <alignment horizontal="center" vertical="center" wrapText="1"/>
    </xf>
    <xf numFmtId="0" fontId="26" fillId="0" borderId="3" xfId="0" applyNumberFormat="1" applyFont="1" applyBorder="1" applyAlignment="1">
      <alignment horizontal="left" vertical="top" wrapText="1"/>
    </xf>
    <xf numFmtId="49" fontId="26" fillId="0" borderId="3" xfId="0" applyNumberFormat="1" applyFont="1" applyBorder="1" applyAlignment="1">
      <alignment horizontal="center" vertical="top"/>
    </xf>
    <xf numFmtId="0" fontId="28" fillId="0" borderId="3" xfId="0" applyNumberFormat="1" applyFont="1" applyBorder="1" applyAlignment="1">
      <alignment horizontal="left" vertical="top" wrapText="1"/>
    </xf>
    <xf numFmtId="0" fontId="26" fillId="0" borderId="3" xfId="0" applyNumberFormat="1" applyFont="1" applyBorder="1" applyAlignment="1">
      <alignment vertical="top"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3" xfId="0" applyNumberFormat="1" applyFont="1" applyFill="1" applyBorder="1" applyAlignment="1">
      <alignment horizontal="center" vertical="top"/>
    </xf>
    <xf numFmtId="0" fontId="29" fillId="0" borderId="3" xfId="0" applyNumberFormat="1" applyFont="1" applyBorder="1" applyAlignment="1">
      <alignment vertical="top" wrapText="1"/>
    </xf>
    <xf numFmtId="0" fontId="29" fillId="0" borderId="3" xfId="0" applyFont="1" applyBorder="1" applyAlignment="1">
      <alignment vertical="top"/>
    </xf>
    <xf numFmtId="49" fontId="29" fillId="0" borderId="3" xfId="0" applyNumberFormat="1" applyFont="1" applyBorder="1" applyAlignment="1">
      <alignment horizontal="center" vertical="top"/>
    </xf>
    <xf numFmtId="0" fontId="29" fillId="0" borderId="3" xfId="0" applyNumberFormat="1" applyFont="1" applyBorder="1" applyAlignment="1">
      <alignment horizontal="left" vertical="top" wrapText="1"/>
    </xf>
    <xf numFmtId="0" fontId="26" fillId="0" borderId="3" xfId="0" applyNumberFormat="1" applyFont="1" applyFill="1" applyBorder="1" applyAlignment="1">
      <alignment horizontal="left" vertical="top" wrapText="1"/>
    </xf>
    <xf numFmtId="49" fontId="26" fillId="0" borderId="3" xfId="0" applyNumberFormat="1" applyFont="1" applyBorder="1" applyAlignment="1">
      <alignment vertical="top" wrapText="1"/>
    </xf>
    <xf numFmtId="0" fontId="0" fillId="0" borderId="0" xfId="0" applyAlignment="1">
      <alignment horizontal="right"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right" vertical="top"/>
    </xf>
    <xf numFmtId="0" fontId="30" fillId="0" borderId="0" xfId="0" applyFont="1" applyAlignment="1">
      <alignment horizontal="center"/>
    </xf>
    <xf numFmtId="0" fontId="31" fillId="0" borderId="0" xfId="0" applyFont="1" applyFill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right" vertical="top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Border="1" applyAlignment="1">
      <alignment horizontal="left" vertical="top"/>
    </xf>
    <xf numFmtId="0" fontId="25" fillId="0" borderId="0" xfId="0" applyFont="1" applyAlignment="1">
      <alignment horizontal="center"/>
    </xf>
    <xf numFmtId="49" fontId="26" fillId="0" borderId="3" xfId="0" applyNumberFormat="1" applyFont="1" applyBorder="1" applyAlignment="1" applyProtection="1">
      <alignment horizontal="left" vertical="top" wrapText="1"/>
      <protection locked="0"/>
    </xf>
    <xf numFmtId="0" fontId="26" fillId="0" borderId="3" xfId="59" applyFont="1" applyFill="1" applyBorder="1" applyAlignment="1">
      <alignment wrapText="1"/>
      <protection/>
    </xf>
    <xf numFmtId="0" fontId="26" fillId="0" borderId="3" xfId="59" applyFont="1" applyFill="1" applyBorder="1" applyAlignment="1">
      <alignment horizontal="left" vertical="top" wrapText="1"/>
      <protection/>
    </xf>
    <xf numFmtId="49" fontId="26" fillId="0" borderId="3" xfId="59" applyNumberFormat="1" applyFont="1" applyFill="1" applyBorder="1" applyAlignment="1">
      <alignment horizontal="center"/>
      <protection/>
    </xf>
    <xf numFmtId="0" fontId="26" fillId="24" borderId="3" xfId="0" applyNumberFormat="1" applyFont="1" applyFill="1" applyBorder="1" applyAlignment="1">
      <alignment horizontal="left" vertical="top" wrapText="1"/>
    </xf>
    <xf numFmtId="49" fontId="26" fillId="24" borderId="3" xfId="0" applyNumberFormat="1" applyFont="1" applyFill="1" applyBorder="1" applyAlignment="1">
      <alignment horizontal="center" vertical="top"/>
    </xf>
    <xf numFmtId="171" fontId="26" fillId="0" borderId="3" xfId="0" applyNumberFormat="1" applyFont="1" applyBorder="1" applyAlignment="1">
      <alignment horizontal="right" vertical="top"/>
    </xf>
    <xf numFmtId="0" fontId="0" fillId="0" borderId="0" xfId="0" applyFill="1" applyAlignment="1">
      <alignment vertical="top"/>
    </xf>
    <xf numFmtId="49" fontId="26" fillId="0" borderId="3" xfId="0" applyNumberFormat="1" applyFont="1" applyBorder="1" applyAlignment="1" applyProtection="1">
      <alignment horizontal="center" vertical="top"/>
      <protection locked="0"/>
    </xf>
    <xf numFmtId="171" fontId="29" fillId="0" borderId="3" xfId="0" applyNumberFormat="1" applyFont="1" applyBorder="1" applyAlignment="1">
      <alignment vertical="top"/>
    </xf>
    <xf numFmtId="171" fontId="29" fillId="0" borderId="3" xfId="0" applyNumberFormat="1" applyFont="1" applyBorder="1" applyAlignment="1">
      <alignment horizontal="right" vertical="top"/>
    </xf>
    <xf numFmtId="171" fontId="25" fillId="0" borderId="0" xfId="0" applyNumberFormat="1" applyFont="1" applyAlignment="1">
      <alignment horizontal="center" vertical="top"/>
    </xf>
    <xf numFmtId="171" fontId="25" fillId="0" borderId="0" xfId="0" applyNumberFormat="1" applyFont="1" applyAlignment="1">
      <alignment vertical="top"/>
    </xf>
    <xf numFmtId="171" fontId="26" fillId="0" borderId="0" xfId="0" applyNumberFormat="1" applyFont="1" applyFill="1" applyAlignment="1">
      <alignment/>
    </xf>
    <xf numFmtId="171" fontId="26" fillId="0" borderId="3" xfId="0" applyNumberFormat="1" applyFont="1" applyBorder="1" applyAlignment="1" quotePrefix="1">
      <alignment horizontal="center" vertical="center" wrapText="1"/>
    </xf>
    <xf numFmtId="171" fontId="26" fillId="0" borderId="3" xfId="0" applyNumberFormat="1" applyFont="1" applyFill="1" applyBorder="1" applyAlignment="1">
      <alignment horizontal="right" vertical="top"/>
    </xf>
    <xf numFmtId="171" fontId="26" fillId="24" borderId="3" xfId="0" applyNumberFormat="1" applyFont="1" applyFill="1" applyBorder="1" applyAlignment="1">
      <alignment horizontal="right" vertical="top"/>
    </xf>
    <xf numFmtId="171" fontId="26" fillId="0" borderId="0" xfId="0" applyNumberFormat="1" applyFont="1" applyAlignment="1">
      <alignment vertical="top"/>
    </xf>
    <xf numFmtId="49" fontId="25" fillId="0" borderId="0" xfId="0" applyNumberFormat="1" applyFont="1" applyFill="1" applyBorder="1" applyAlignment="1">
      <alignment horizontal="right" vertical="top"/>
    </xf>
    <xf numFmtId="49" fontId="25" fillId="0" borderId="0" xfId="0" applyNumberFormat="1" applyFont="1" applyFill="1" applyAlignment="1">
      <alignment horizontal="right" vertical="top"/>
    </xf>
    <xf numFmtId="0" fontId="25" fillId="0" borderId="0" xfId="0" applyFont="1" applyFill="1" applyAlignment="1">
      <alignment horizontal="right"/>
    </xf>
    <xf numFmtId="171" fontId="30" fillId="0" borderId="0" xfId="0" applyNumberFormat="1" applyFont="1" applyAlignment="1">
      <alignment vertical="top"/>
    </xf>
    <xf numFmtId="171" fontId="28" fillId="0" borderId="3" xfId="0" applyNumberFormat="1" applyFont="1" applyBorder="1" applyAlignment="1">
      <alignment horizontal="right" vertical="top"/>
    </xf>
    <xf numFmtId="171" fontId="25" fillId="0" borderId="0" xfId="0" applyNumberFormat="1" applyFont="1" applyFill="1" applyBorder="1" applyAlignment="1">
      <alignment vertical="top"/>
    </xf>
    <xf numFmtId="171" fontId="26" fillId="0" borderId="0" xfId="0" applyNumberFormat="1" applyFont="1" applyAlignment="1">
      <alignment wrapText="1"/>
    </xf>
    <xf numFmtId="0" fontId="25" fillId="0" borderId="0" xfId="0" applyFont="1" applyAlignment="1">
      <alignment vertical="top"/>
    </xf>
    <xf numFmtId="171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 vertical="top"/>
    </xf>
    <xf numFmtId="171" fontId="25" fillId="24" borderId="0" xfId="0" applyNumberFormat="1" applyFont="1" applyFill="1" applyAlignment="1">
      <alignment horizontal="center" vertical="top"/>
    </xf>
    <xf numFmtId="171" fontId="25" fillId="24" borderId="0" xfId="0" applyNumberFormat="1" applyFont="1" applyFill="1" applyAlignment="1">
      <alignment vertical="top"/>
    </xf>
    <xf numFmtId="171" fontId="25" fillId="24" borderId="0" xfId="0" applyNumberFormat="1" applyFont="1" applyFill="1" applyAlignment="1">
      <alignment vertical="top"/>
    </xf>
    <xf numFmtId="171" fontId="26" fillId="24" borderId="0" xfId="0" applyNumberFormat="1" applyFont="1" applyFill="1" applyAlignment="1">
      <alignment/>
    </xf>
    <xf numFmtId="171" fontId="26" fillId="24" borderId="0" xfId="0" applyNumberFormat="1" applyFont="1" applyFill="1" applyAlignment="1">
      <alignment horizontal="right"/>
    </xf>
    <xf numFmtId="171" fontId="26" fillId="24" borderId="3" xfId="0" applyNumberFormat="1" applyFont="1" applyFill="1" applyBorder="1" applyAlignment="1" quotePrefix="1">
      <alignment horizontal="center" vertical="center" wrapText="1"/>
    </xf>
    <xf numFmtId="171" fontId="29" fillId="24" borderId="3" xfId="0" applyNumberFormat="1" applyFont="1" applyFill="1" applyBorder="1" applyAlignment="1">
      <alignment horizontal="right" vertical="top"/>
    </xf>
    <xf numFmtId="171" fontId="29" fillId="24" borderId="3" xfId="0" applyNumberFormat="1" applyFont="1" applyFill="1" applyBorder="1" applyAlignment="1">
      <alignment vertical="top"/>
    </xf>
    <xf numFmtId="171" fontId="26" fillId="24" borderId="0" xfId="0" applyNumberFormat="1" applyFont="1" applyFill="1" applyAlignment="1">
      <alignment vertical="top"/>
    </xf>
    <xf numFmtId="1" fontId="33" fillId="0" borderId="11" xfId="0" applyNumberFormat="1" applyFont="1" applyBorder="1" applyAlignment="1">
      <alignment horizontal="center"/>
    </xf>
    <xf numFmtId="1" fontId="33" fillId="0" borderId="12" xfId="0" applyNumberFormat="1" applyFont="1" applyBorder="1" applyAlignment="1">
      <alignment horizontal="center"/>
    </xf>
    <xf numFmtId="1" fontId="33" fillId="24" borderId="3" xfId="0" applyNumberFormat="1" applyFont="1" applyFill="1" applyBorder="1" applyAlignment="1">
      <alignment horizontal="center"/>
    </xf>
    <xf numFmtId="1" fontId="33" fillId="0" borderId="3" xfId="0" applyNumberFormat="1" applyFont="1" applyBorder="1" applyAlignment="1">
      <alignment horizontal="center"/>
    </xf>
    <xf numFmtId="171" fontId="26" fillId="0" borderId="3" xfId="0" applyNumberFormat="1" applyFont="1" applyFill="1" applyBorder="1" applyAlignment="1" applyProtection="1">
      <alignment horizontal="right" vertical="top"/>
      <protection locked="0"/>
    </xf>
    <xf numFmtId="171" fontId="29" fillId="0" borderId="3" xfId="0" applyNumberFormat="1" applyFont="1" applyFill="1" applyBorder="1" applyAlignment="1">
      <alignment horizontal="right" vertical="top"/>
    </xf>
    <xf numFmtId="49" fontId="29" fillId="0" borderId="3" xfId="0" applyNumberFormat="1" applyFont="1" applyFill="1" applyBorder="1" applyAlignment="1">
      <alignment horizontal="center" vertical="top"/>
    </xf>
    <xf numFmtId="0" fontId="29" fillId="0" borderId="3" xfId="0" applyNumberFormat="1" applyFont="1" applyFill="1" applyBorder="1" applyAlignment="1">
      <alignment horizontal="left" vertical="top" wrapText="1"/>
    </xf>
    <xf numFmtId="49" fontId="26" fillId="0" borderId="3" xfId="0" applyNumberFormat="1" applyFont="1" applyFill="1" applyBorder="1" applyAlignment="1" applyProtection="1">
      <alignment horizontal="left" vertical="top" wrapText="1"/>
      <protection locked="0"/>
    </xf>
    <xf numFmtId="0" fontId="32" fillId="24" borderId="3" xfId="0" applyNumberFormat="1" applyFont="1" applyFill="1" applyBorder="1" applyAlignment="1">
      <alignment horizontal="left" vertical="top" wrapText="1"/>
    </xf>
    <xf numFmtId="0" fontId="29" fillId="0" borderId="3" xfId="0" applyNumberFormat="1" applyFont="1" applyFill="1" applyBorder="1" applyAlignment="1">
      <alignment vertical="top" wrapText="1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25" fillId="0" borderId="0" xfId="0" applyNumberFormat="1" applyFont="1" applyBorder="1" applyAlignment="1">
      <alignment horizontal="left" vertical="top"/>
    </xf>
    <xf numFmtId="49" fontId="25" fillId="0" borderId="0" xfId="0" applyNumberFormat="1" applyFont="1" applyAlignment="1">
      <alignment vertical="top"/>
    </xf>
    <xf numFmtId="49" fontId="30" fillId="0" borderId="0" xfId="0" applyNumberFormat="1" applyFont="1" applyBorder="1" applyAlignment="1">
      <alignment horizontal="left" vertical="top"/>
    </xf>
    <xf numFmtId="49" fontId="30" fillId="0" borderId="0" xfId="0" applyNumberFormat="1" applyFont="1" applyAlignment="1">
      <alignment vertical="top"/>
    </xf>
    <xf numFmtId="0" fontId="25" fillId="0" borderId="0" xfId="0" applyFont="1" applyFill="1" applyBorder="1" applyAlignment="1">
      <alignment horizontal="center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1"/>
  <sheetViews>
    <sheetView showGridLines="0" tabSelected="1" zoomScalePageLayoutView="0" workbookViewId="0" topLeftCell="A1">
      <selection activeCell="E554" sqref="E554"/>
    </sheetView>
  </sheetViews>
  <sheetFormatPr defaultColWidth="10.28125" defaultRowHeight="12"/>
  <cols>
    <col min="1" max="1" width="41.7109375" style="1" customWidth="1"/>
    <col min="2" max="3" width="4.421875" style="1" customWidth="1"/>
    <col min="4" max="4" width="10.28125" style="1" customWidth="1"/>
    <col min="5" max="5" width="8.8515625" style="1" customWidth="1"/>
    <col min="6" max="6" width="19.28125" style="69" customWidth="1"/>
    <col min="7" max="7" width="16.421875" style="50" customWidth="1"/>
    <col min="8" max="8" width="15.140625" style="50" customWidth="1"/>
  </cols>
  <sheetData>
    <row r="1" spans="1:8" ht="15.75">
      <c r="A1" s="25"/>
      <c r="B1" s="25"/>
      <c r="C1" s="26"/>
      <c r="D1" s="26"/>
      <c r="E1" s="26"/>
      <c r="F1" s="59" t="s">
        <v>460</v>
      </c>
      <c r="G1" s="44"/>
      <c r="H1" s="44"/>
    </row>
    <row r="2" spans="1:9" ht="15.75">
      <c r="A2" s="81" t="s">
        <v>414</v>
      </c>
      <c r="B2" s="81"/>
      <c r="C2" s="81"/>
      <c r="D2" s="81"/>
      <c r="E2" s="81"/>
      <c r="F2" s="81"/>
      <c r="G2" s="81"/>
      <c r="H2" s="81"/>
      <c r="I2" s="81"/>
    </row>
    <row r="3" spans="1:10" ht="15.75">
      <c r="A3" s="81" t="s">
        <v>415</v>
      </c>
      <c r="B3" s="81"/>
      <c r="C3" s="81"/>
      <c r="D3" s="81"/>
      <c r="E3" s="81"/>
      <c r="F3" s="81"/>
      <c r="G3" s="81"/>
      <c r="H3" s="81"/>
      <c r="I3" s="81"/>
      <c r="J3" s="81"/>
    </row>
    <row r="4" spans="1:8" ht="15.75">
      <c r="A4" s="82" t="s">
        <v>416</v>
      </c>
      <c r="B4" s="82"/>
      <c r="C4" s="82"/>
      <c r="D4" s="82"/>
      <c r="E4" s="82"/>
      <c r="F4" s="82"/>
      <c r="G4" s="82"/>
      <c r="H4" s="82"/>
    </row>
    <row r="5" spans="1:8" ht="15.75" customHeight="1">
      <c r="A5" s="28"/>
      <c r="B5" s="28"/>
      <c r="C5" s="27" t="s">
        <v>620</v>
      </c>
      <c r="D5" s="58"/>
      <c r="E5" s="58"/>
      <c r="F5" s="60"/>
      <c r="G5" s="58"/>
      <c r="H5" s="58"/>
    </row>
    <row r="6" spans="1:8" s="20" customFormat="1" ht="15.75">
      <c r="A6" s="51" t="s">
        <v>365</v>
      </c>
      <c r="B6" s="52"/>
      <c r="C6" s="53"/>
      <c r="D6" s="90" t="s">
        <v>218</v>
      </c>
      <c r="E6" s="90"/>
      <c r="F6" s="90"/>
      <c r="G6" s="90"/>
      <c r="H6" s="56"/>
    </row>
    <row r="7" spans="1:8" ht="5.25" customHeight="1">
      <c r="A7" s="25"/>
      <c r="B7" s="25"/>
      <c r="C7" s="26"/>
      <c r="D7" s="26"/>
      <c r="E7" s="26"/>
      <c r="F7" s="61"/>
      <c r="G7" s="44"/>
      <c r="H7" s="44"/>
    </row>
    <row r="8" spans="1:8" ht="15.75" hidden="1">
      <c r="A8" s="25"/>
      <c r="B8" s="25"/>
      <c r="C8" s="25"/>
      <c r="D8" s="25"/>
      <c r="E8" s="25"/>
      <c r="F8" s="62"/>
      <c r="G8" s="45"/>
      <c r="H8" s="45"/>
    </row>
    <row r="9" spans="1:8" ht="15.75">
      <c r="A9" s="25"/>
      <c r="B9" s="25"/>
      <c r="C9" s="25"/>
      <c r="D9" s="25"/>
      <c r="E9" s="25"/>
      <c r="F9" s="59" t="s">
        <v>615</v>
      </c>
      <c r="G9" s="45"/>
      <c r="H9" s="45"/>
    </row>
    <row r="10" spans="1:8" ht="15.75">
      <c r="A10" s="25"/>
      <c r="B10" s="25"/>
      <c r="C10" s="25"/>
      <c r="D10" s="25"/>
      <c r="E10" s="25"/>
      <c r="F10" s="59" t="s">
        <v>614</v>
      </c>
      <c r="G10" s="45"/>
      <c r="H10" s="45"/>
    </row>
    <row r="11" spans="1:8" ht="15.75">
      <c r="A11" s="25"/>
      <c r="B11" s="25"/>
      <c r="C11" s="27" t="s">
        <v>619</v>
      </c>
      <c r="D11" s="25"/>
      <c r="E11" s="25"/>
      <c r="F11" s="62"/>
      <c r="G11" s="45"/>
      <c r="H11" s="45"/>
    </row>
    <row r="12" spans="1:8" ht="15.75">
      <c r="A12" s="28"/>
      <c r="B12" s="28"/>
      <c r="C12" s="27" t="s">
        <v>620</v>
      </c>
      <c r="D12" s="30"/>
      <c r="E12" s="31"/>
      <c r="F12" s="63"/>
      <c r="G12" s="45"/>
      <c r="H12" s="45"/>
    </row>
    <row r="13" spans="1:8" ht="15.75">
      <c r="A13" s="86" t="s">
        <v>621</v>
      </c>
      <c r="B13" s="87"/>
      <c r="C13" s="32" t="s">
        <v>345</v>
      </c>
      <c r="D13" s="29"/>
      <c r="E13" s="25"/>
      <c r="F13" s="62"/>
      <c r="G13" s="45"/>
      <c r="H13" s="45"/>
    </row>
    <row r="14" spans="1:8" ht="15" customHeight="1">
      <c r="A14" s="24"/>
      <c r="B14" s="21"/>
      <c r="C14" s="23"/>
      <c r="D14" s="22"/>
      <c r="E14" s="88"/>
      <c r="F14" s="89"/>
      <c r="G14" s="54"/>
      <c r="H14" s="54"/>
    </row>
    <row r="15" spans="1:8" ht="11.25" customHeight="1">
      <c r="A15" s="2"/>
      <c r="B15" s="2"/>
      <c r="C15" s="3"/>
      <c r="D15" s="4"/>
      <c r="E15" s="83"/>
      <c r="F15" s="84"/>
      <c r="G15" s="85"/>
      <c r="H15" s="85"/>
    </row>
    <row r="16" spans="1:8" ht="19.5" customHeight="1">
      <c r="A16" s="11" t="s">
        <v>616</v>
      </c>
      <c r="B16" s="12"/>
      <c r="C16" s="12"/>
      <c r="D16" s="12"/>
      <c r="E16" s="12"/>
      <c r="F16" s="64"/>
      <c r="G16" s="46"/>
      <c r="H16" s="46"/>
    </row>
    <row r="17" spans="1:8" ht="13.5" customHeight="1">
      <c r="A17" s="11" t="s">
        <v>617</v>
      </c>
      <c r="B17" s="12"/>
      <c r="C17" s="12"/>
      <c r="D17" s="12"/>
      <c r="E17" s="12"/>
      <c r="F17" s="64"/>
      <c r="G17" s="46"/>
      <c r="H17" s="46"/>
    </row>
    <row r="18" spans="1:8" ht="13.5" customHeight="1">
      <c r="A18" s="11" t="s">
        <v>618</v>
      </c>
      <c r="B18" s="12"/>
      <c r="C18" s="12"/>
      <c r="D18" s="12"/>
      <c r="E18" s="12"/>
      <c r="F18" s="64"/>
      <c r="G18" s="46"/>
      <c r="H18" s="46"/>
    </row>
    <row r="19" spans="1:8" ht="13.5" customHeight="1">
      <c r="A19" s="11"/>
      <c r="B19" s="12"/>
      <c r="C19" s="12"/>
      <c r="D19" s="12"/>
      <c r="E19" s="12"/>
      <c r="F19" s="64"/>
      <c r="G19" s="46"/>
      <c r="H19" s="46"/>
    </row>
    <row r="20" spans="6:8" ht="27" customHeight="1">
      <c r="F20" s="65"/>
      <c r="H20" s="57" t="s">
        <v>524</v>
      </c>
    </row>
    <row r="21" spans="1:8" ht="51">
      <c r="A21" s="5"/>
      <c r="B21" s="6" t="s">
        <v>659</v>
      </c>
      <c r="C21" s="6" t="s">
        <v>660</v>
      </c>
      <c r="D21" s="6" t="s">
        <v>661</v>
      </c>
      <c r="E21" s="6" t="s">
        <v>662</v>
      </c>
      <c r="F21" s="66" t="s">
        <v>656</v>
      </c>
      <c r="G21" s="47" t="s">
        <v>657</v>
      </c>
      <c r="H21" s="47" t="s">
        <v>658</v>
      </c>
    </row>
    <row r="22" spans="1:8" ht="12">
      <c r="A22" s="70">
        <v>1</v>
      </c>
      <c r="B22" s="71">
        <v>2</v>
      </c>
      <c r="C22" s="71">
        <v>3</v>
      </c>
      <c r="D22" s="71">
        <v>4</v>
      </c>
      <c r="E22" s="71">
        <v>5</v>
      </c>
      <c r="F22" s="72">
        <v>6</v>
      </c>
      <c r="G22" s="73">
        <v>7</v>
      </c>
      <c r="H22" s="73">
        <v>8</v>
      </c>
    </row>
    <row r="23" spans="1:8" ht="15.75" customHeight="1">
      <c r="A23" s="17" t="s">
        <v>101</v>
      </c>
      <c r="B23" s="16" t="s">
        <v>102</v>
      </c>
      <c r="C23" s="16" t="s">
        <v>98</v>
      </c>
      <c r="D23" s="16" t="s">
        <v>99</v>
      </c>
      <c r="E23" s="16" t="s">
        <v>98</v>
      </c>
      <c r="F23" s="67">
        <f>F24+F28+F40+F50+F58+F54</f>
        <v>111890.309</v>
      </c>
      <c r="G23" s="43">
        <f>G24+G28+G40+G50+G58+G54</f>
        <v>110218.69999999998</v>
      </c>
      <c r="H23" s="43">
        <f>H24+H28+H40+H50+H58+H54</f>
        <v>110168.69999999998</v>
      </c>
    </row>
    <row r="24" spans="1:8" ht="55.5" customHeight="1">
      <c r="A24" s="7" t="s">
        <v>103</v>
      </c>
      <c r="B24" s="8" t="s">
        <v>102</v>
      </c>
      <c r="C24" s="8" t="s">
        <v>104</v>
      </c>
      <c r="D24" s="8"/>
      <c r="E24" s="8" t="s">
        <v>98</v>
      </c>
      <c r="F24" s="49">
        <f aca="true" t="shared" si="0" ref="F24:H25">F25</f>
        <v>1145</v>
      </c>
      <c r="G24" s="39">
        <f t="shared" si="0"/>
        <v>1145</v>
      </c>
      <c r="H24" s="39">
        <f t="shared" si="0"/>
        <v>1145</v>
      </c>
    </row>
    <row r="25" spans="1:8" ht="33" customHeight="1">
      <c r="A25" s="7" t="s">
        <v>105</v>
      </c>
      <c r="B25" s="8" t="s">
        <v>102</v>
      </c>
      <c r="C25" s="8" t="s">
        <v>104</v>
      </c>
      <c r="D25" s="8" t="s">
        <v>663</v>
      </c>
      <c r="E25" s="8" t="s">
        <v>98</v>
      </c>
      <c r="F25" s="49">
        <f t="shared" si="0"/>
        <v>1145</v>
      </c>
      <c r="G25" s="39">
        <f t="shared" si="0"/>
        <v>1145</v>
      </c>
      <c r="H25" s="39">
        <f t="shared" si="0"/>
        <v>1145</v>
      </c>
    </row>
    <row r="26" spans="1:8" ht="17.25" customHeight="1">
      <c r="A26" s="7" t="s">
        <v>45</v>
      </c>
      <c r="B26" s="8" t="s">
        <v>102</v>
      </c>
      <c r="C26" s="8" t="s">
        <v>104</v>
      </c>
      <c r="D26" s="8" t="s">
        <v>106</v>
      </c>
      <c r="E26" s="8" t="s">
        <v>98</v>
      </c>
      <c r="F26" s="49">
        <f>F27</f>
        <v>1145</v>
      </c>
      <c r="G26" s="39">
        <f>G27</f>
        <v>1145</v>
      </c>
      <c r="H26" s="39">
        <f>H27</f>
        <v>1145</v>
      </c>
    </row>
    <row r="27" spans="1:8" ht="19.5" customHeight="1">
      <c r="A27" s="7" t="s">
        <v>107</v>
      </c>
      <c r="B27" s="8" t="s">
        <v>102</v>
      </c>
      <c r="C27" s="8" t="s">
        <v>104</v>
      </c>
      <c r="D27" s="8" t="s">
        <v>106</v>
      </c>
      <c r="E27" s="8" t="s">
        <v>108</v>
      </c>
      <c r="F27" s="49">
        <f>1055+90</f>
        <v>1145</v>
      </c>
      <c r="G27" s="39">
        <v>1145</v>
      </c>
      <c r="H27" s="39">
        <v>1145</v>
      </c>
    </row>
    <row r="28" spans="1:8" ht="73.5" customHeight="1">
      <c r="A28" s="7" t="s">
        <v>109</v>
      </c>
      <c r="B28" s="8" t="s">
        <v>102</v>
      </c>
      <c r="C28" s="8" t="s">
        <v>110</v>
      </c>
      <c r="D28" s="8" t="s">
        <v>99</v>
      </c>
      <c r="E28" s="8" t="s">
        <v>98</v>
      </c>
      <c r="F28" s="49">
        <f>F29+F34</f>
        <v>7390.7</v>
      </c>
      <c r="G28" s="39">
        <f>G29+G34</f>
        <v>6844.3</v>
      </c>
      <c r="H28" s="39">
        <f>H29+H34</f>
        <v>6844.3</v>
      </c>
    </row>
    <row r="29" spans="1:8" ht="30" customHeight="1">
      <c r="A29" s="7" t="s">
        <v>105</v>
      </c>
      <c r="B29" s="8" t="s">
        <v>102</v>
      </c>
      <c r="C29" s="8" t="s">
        <v>110</v>
      </c>
      <c r="D29" s="8" t="s">
        <v>663</v>
      </c>
      <c r="E29" s="8" t="s">
        <v>98</v>
      </c>
      <c r="F29" s="49">
        <f>F30+F32</f>
        <v>2245</v>
      </c>
      <c r="G29" s="39">
        <f>G30+G32</f>
        <v>2186</v>
      </c>
      <c r="H29" s="39">
        <f>H30+H32</f>
        <v>2186</v>
      </c>
    </row>
    <row r="30" spans="1:8" ht="30.75" customHeight="1">
      <c r="A30" s="7" t="s">
        <v>111</v>
      </c>
      <c r="B30" s="8" t="s">
        <v>102</v>
      </c>
      <c r="C30" s="8" t="s">
        <v>110</v>
      </c>
      <c r="D30" s="8" t="s">
        <v>112</v>
      </c>
      <c r="E30" s="8" t="s">
        <v>98</v>
      </c>
      <c r="F30" s="49">
        <f>F31</f>
        <v>955</v>
      </c>
      <c r="G30" s="39">
        <f>G31</f>
        <v>896</v>
      </c>
      <c r="H30" s="39">
        <f>H31</f>
        <v>896</v>
      </c>
    </row>
    <row r="31" spans="1:8" ht="21" customHeight="1">
      <c r="A31" s="7" t="s">
        <v>107</v>
      </c>
      <c r="B31" s="8" t="s">
        <v>102</v>
      </c>
      <c r="C31" s="8" t="s">
        <v>110</v>
      </c>
      <c r="D31" s="8" t="s">
        <v>112</v>
      </c>
      <c r="E31" s="8" t="s">
        <v>108</v>
      </c>
      <c r="F31" s="49">
        <f>896+59</f>
        <v>955</v>
      </c>
      <c r="G31" s="39">
        <v>896</v>
      </c>
      <c r="H31" s="39">
        <v>896</v>
      </c>
    </row>
    <row r="32" spans="1:8" ht="31.5" customHeight="1">
      <c r="A32" s="7" t="s">
        <v>113</v>
      </c>
      <c r="B32" s="8" t="s">
        <v>102</v>
      </c>
      <c r="C32" s="8" t="s">
        <v>110</v>
      </c>
      <c r="D32" s="8" t="s">
        <v>114</v>
      </c>
      <c r="E32" s="8" t="s">
        <v>98</v>
      </c>
      <c r="F32" s="49">
        <f>F33</f>
        <v>1290</v>
      </c>
      <c r="G32" s="39">
        <f>G33</f>
        <v>1290</v>
      </c>
      <c r="H32" s="39">
        <f>H33</f>
        <v>1290</v>
      </c>
    </row>
    <row r="33" spans="1:8" ht="38.25">
      <c r="A33" s="7" t="s">
        <v>115</v>
      </c>
      <c r="B33" s="8" t="s">
        <v>102</v>
      </c>
      <c r="C33" s="8" t="s">
        <v>110</v>
      </c>
      <c r="D33" s="8" t="s">
        <v>114</v>
      </c>
      <c r="E33" s="8" t="s">
        <v>116</v>
      </c>
      <c r="F33" s="49">
        <v>1290</v>
      </c>
      <c r="G33" s="39">
        <v>1290</v>
      </c>
      <c r="H33" s="39">
        <v>1290</v>
      </c>
    </row>
    <row r="34" spans="1:8" ht="27" customHeight="1">
      <c r="A34" s="7" t="s">
        <v>117</v>
      </c>
      <c r="B34" s="8" t="s">
        <v>102</v>
      </c>
      <c r="C34" s="8" t="s">
        <v>110</v>
      </c>
      <c r="D34" s="8" t="s">
        <v>118</v>
      </c>
      <c r="E34" s="8" t="s">
        <v>98</v>
      </c>
      <c r="F34" s="49">
        <f>F35+F36+F37+F38+F39</f>
        <v>5145.7</v>
      </c>
      <c r="G34" s="39">
        <f>G35+G36+G37</f>
        <v>4658.3</v>
      </c>
      <c r="H34" s="39">
        <f>H35+H36+H37</f>
        <v>4658.3</v>
      </c>
    </row>
    <row r="35" spans="1:8" ht="18.75" customHeight="1">
      <c r="A35" s="7" t="s">
        <v>107</v>
      </c>
      <c r="B35" s="8" t="s">
        <v>102</v>
      </c>
      <c r="C35" s="8" t="s">
        <v>110</v>
      </c>
      <c r="D35" s="8" t="s">
        <v>118</v>
      </c>
      <c r="E35" s="8" t="s">
        <v>108</v>
      </c>
      <c r="F35" s="49">
        <f>2529.8+546.4+148.5</f>
        <v>3224.7000000000003</v>
      </c>
      <c r="G35" s="39">
        <v>2529.8</v>
      </c>
      <c r="H35" s="39">
        <v>2529.8</v>
      </c>
    </row>
    <row r="36" spans="1:8" ht="43.5" customHeight="1">
      <c r="A36" s="7" t="s">
        <v>119</v>
      </c>
      <c r="B36" s="8" t="s">
        <v>102</v>
      </c>
      <c r="C36" s="8" t="s">
        <v>110</v>
      </c>
      <c r="D36" s="8" t="s">
        <v>118</v>
      </c>
      <c r="E36" s="8" t="s">
        <v>120</v>
      </c>
      <c r="F36" s="49">
        <f>130-20-2.8</f>
        <v>107.2</v>
      </c>
      <c r="G36" s="39">
        <v>130</v>
      </c>
      <c r="H36" s="39">
        <v>130</v>
      </c>
    </row>
    <row r="37" spans="1:8" ht="41.25" customHeight="1">
      <c r="A37" s="7" t="s">
        <v>115</v>
      </c>
      <c r="B37" s="8" t="s">
        <v>102</v>
      </c>
      <c r="C37" s="8" t="s">
        <v>110</v>
      </c>
      <c r="D37" s="8" t="s">
        <v>118</v>
      </c>
      <c r="E37" s="8" t="s">
        <v>116</v>
      </c>
      <c r="F37" s="49">
        <f>1968.5-128.5-42.7</f>
        <v>1797.3</v>
      </c>
      <c r="G37" s="39">
        <v>1998.5</v>
      </c>
      <c r="H37" s="39">
        <v>1998.5</v>
      </c>
    </row>
    <row r="38" spans="1:8" ht="32.25" customHeight="1">
      <c r="A38" s="7" t="s">
        <v>539</v>
      </c>
      <c r="B38" s="8" t="s">
        <v>102</v>
      </c>
      <c r="C38" s="8" t="s">
        <v>110</v>
      </c>
      <c r="D38" s="8" t="s">
        <v>118</v>
      </c>
      <c r="E38" s="8" t="s">
        <v>131</v>
      </c>
      <c r="F38" s="49">
        <f>20-8.5</f>
        <v>11.5</v>
      </c>
      <c r="G38" s="39"/>
      <c r="H38" s="39"/>
    </row>
    <row r="39" spans="1:8" ht="28.5" customHeight="1">
      <c r="A39" s="7" t="s">
        <v>132</v>
      </c>
      <c r="B39" s="8" t="s">
        <v>102</v>
      </c>
      <c r="C39" s="8" t="s">
        <v>110</v>
      </c>
      <c r="D39" s="8" t="s">
        <v>118</v>
      </c>
      <c r="E39" s="8" t="s">
        <v>133</v>
      </c>
      <c r="F39" s="49">
        <f>10-5</f>
        <v>5</v>
      </c>
      <c r="G39" s="39"/>
      <c r="H39" s="39"/>
    </row>
    <row r="40" spans="1:8" ht="76.5">
      <c r="A40" s="7" t="s">
        <v>122</v>
      </c>
      <c r="B40" s="8" t="s">
        <v>102</v>
      </c>
      <c r="C40" s="8" t="s">
        <v>123</v>
      </c>
      <c r="D40" s="8" t="s">
        <v>99</v>
      </c>
      <c r="E40" s="8" t="s">
        <v>98</v>
      </c>
      <c r="F40" s="49">
        <f aca="true" t="shared" si="1" ref="F40:H41">F41</f>
        <v>78631.09999999999</v>
      </c>
      <c r="G40" s="39">
        <f t="shared" si="1"/>
        <v>74140.19999999998</v>
      </c>
      <c r="H40" s="39">
        <f t="shared" si="1"/>
        <v>74140.19999999998</v>
      </c>
    </row>
    <row r="41" spans="1:8" ht="29.25" customHeight="1">
      <c r="A41" s="7" t="s">
        <v>105</v>
      </c>
      <c r="B41" s="8" t="s">
        <v>102</v>
      </c>
      <c r="C41" s="8" t="s">
        <v>123</v>
      </c>
      <c r="D41" s="8" t="s">
        <v>663</v>
      </c>
      <c r="E41" s="8" t="s">
        <v>98</v>
      </c>
      <c r="F41" s="49">
        <f t="shared" si="1"/>
        <v>78631.09999999999</v>
      </c>
      <c r="G41" s="39">
        <f t="shared" si="1"/>
        <v>74140.19999999998</v>
      </c>
      <c r="H41" s="39">
        <f t="shared" si="1"/>
        <v>74140.19999999998</v>
      </c>
    </row>
    <row r="42" spans="1:8" ht="31.5" customHeight="1">
      <c r="A42" s="7" t="s">
        <v>124</v>
      </c>
      <c r="B42" s="8" t="s">
        <v>102</v>
      </c>
      <c r="C42" s="8" t="s">
        <v>123</v>
      </c>
      <c r="D42" s="8" t="s">
        <v>125</v>
      </c>
      <c r="E42" s="8" t="s">
        <v>98</v>
      </c>
      <c r="F42" s="49">
        <f>F43+F44+F45+F46+F47+F48+F49</f>
        <v>78631.09999999999</v>
      </c>
      <c r="G42" s="39">
        <f>G43+G44+G45+G46+G47+G48+G49</f>
        <v>74140.19999999998</v>
      </c>
      <c r="H42" s="39">
        <f>H43+H44+H45+H46+H47+H48+H49</f>
        <v>74140.19999999998</v>
      </c>
    </row>
    <row r="43" spans="1:8" ht="18" customHeight="1">
      <c r="A43" s="7" t="s">
        <v>107</v>
      </c>
      <c r="B43" s="8" t="s">
        <v>102</v>
      </c>
      <c r="C43" s="8" t="s">
        <v>123</v>
      </c>
      <c r="D43" s="8" t="s">
        <v>125</v>
      </c>
      <c r="E43" s="8" t="s">
        <v>108</v>
      </c>
      <c r="F43" s="49">
        <f>45676.4+752.4+6700-1626.2+1893.2+218.4+289.5+335.2+1053.7</f>
        <v>55292.6</v>
      </c>
      <c r="G43" s="39">
        <v>45586.4</v>
      </c>
      <c r="H43" s="39">
        <v>45586.4</v>
      </c>
    </row>
    <row r="44" spans="1:8" ht="31.5" customHeight="1">
      <c r="A44" s="7" t="s">
        <v>126</v>
      </c>
      <c r="B44" s="8" t="s">
        <v>102</v>
      </c>
      <c r="C44" s="8" t="s">
        <v>123</v>
      </c>
      <c r="D44" s="8" t="s">
        <v>125</v>
      </c>
      <c r="E44" s="8" t="s">
        <v>127</v>
      </c>
      <c r="F44" s="49">
        <f>70.7-10</f>
        <v>60.7</v>
      </c>
      <c r="G44" s="39">
        <v>10</v>
      </c>
      <c r="H44" s="39">
        <v>10</v>
      </c>
    </row>
    <row r="45" spans="1:8" ht="44.25" customHeight="1">
      <c r="A45" s="7" t="s">
        <v>119</v>
      </c>
      <c r="B45" s="8" t="s">
        <v>102</v>
      </c>
      <c r="C45" s="8" t="s">
        <v>123</v>
      </c>
      <c r="D45" s="8" t="s">
        <v>125</v>
      </c>
      <c r="E45" s="8" t="s">
        <v>120</v>
      </c>
      <c r="F45" s="49">
        <f>3553.8+62.6-311.3+316.6-91.5+44.6-71.1</f>
        <v>3503.7</v>
      </c>
      <c r="G45" s="39">
        <v>3156.2</v>
      </c>
      <c r="H45" s="39">
        <v>3156.2</v>
      </c>
    </row>
    <row r="46" spans="1:8" ht="43.5" customHeight="1">
      <c r="A46" s="7" t="s">
        <v>115</v>
      </c>
      <c r="B46" s="8" t="s">
        <v>102</v>
      </c>
      <c r="C46" s="8" t="s">
        <v>123</v>
      </c>
      <c r="D46" s="8" t="s">
        <v>125</v>
      </c>
      <c r="E46" s="8" t="s">
        <v>116</v>
      </c>
      <c r="F46" s="49">
        <f>23297.9-128.8+65.2-1063.8-1815.9+1543.6-241.1-2748.1</f>
        <v>18909.000000000004</v>
      </c>
      <c r="G46" s="39">
        <v>22307.8</v>
      </c>
      <c r="H46" s="39">
        <v>22307.8</v>
      </c>
    </row>
    <row r="47" spans="1:8" ht="44.25" customHeight="1">
      <c r="A47" s="7" t="s">
        <v>128</v>
      </c>
      <c r="B47" s="8" t="s">
        <v>102</v>
      </c>
      <c r="C47" s="8" t="s">
        <v>123</v>
      </c>
      <c r="D47" s="8" t="s">
        <v>125</v>
      </c>
      <c r="E47" s="8" t="s">
        <v>129</v>
      </c>
      <c r="F47" s="49">
        <f>370-189</f>
        <v>181</v>
      </c>
      <c r="G47" s="39">
        <v>370</v>
      </c>
      <c r="H47" s="39">
        <v>370</v>
      </c>
    </row>
    <row r="48" spans="1:8" ht="25.5">
      <c r="A48" s="7" t="s">
        <v>130</v>
      </c>
      <c r="B48" s="8" t="s">
        <v>102</v>
      </c>
      <c r="C48" s="8" t="s">
        <v>123</v>
      </c>
      <c r="D48" s="8" t="s">
        <v>125</v>
      </c>
      <c r="E48" s="8" t="s">
        <v>131</v>
      </c>
      <c r="F48" s="49">
        <f>374.4-8.5-2+45.7-32.4</f>
        <v>377.2</v>
      </c>
      <c r="G48" s="39">
        <v>355.4</v>
      </c>
      <c r="H48" s="39">
        <v>355.4</v>
      </c>
    </row>
    <row r="49" spans="1:8" ht="25.5">
      <c r="A49" s="7" t="s">
        <v>132</v>
      </c>
      <c r="B49" s="8" t="s">
        <v>102</v>
      </c>
      <c r="C49" s="8" t="s">
        <v>123</v>
      </c>
      <c r="D49" s="8" t="s">
        <v>125</v>
      </c>
      <c r="E49" s="8" t="s">
        <v>133</v>
      </c>
      <c r="F49" s="49">
        <f>357.4+16.5-14.4-45-7.6</f>
        <v>306.9</v>
      </c>
      <c r="G49" s="39">
        <v>2354.4</v>
      </c>
      <c r="H49" s="39">
        <v>2354.4</v>
      </c>
    </row>
    <row r="50" spans="1:8" ht="18" customHeight="1">
      <c r="A50" s="7" t="s">
        <v>134</v>
      </c>
      <c r="B50" s="8" t="s">
        <v>102</v>
      </c>
      <c r="C50" s="8" t="s">
        <v>135</v>
      </c>
      <c r="D50" s="8" t="s">
        <v>99</v>
      </c>
      <c r="E50" s="8" t="s">
        <v>98</v>
      </c>
      <c r="F50" s="49">
        <f aca="true" t="shared" si="2" ref="F50:H52">F51</f>
        <v>194.7</v>
      </c>
      <c r="G50" s="39">
        <f t="shared" si="2"/>
        <v>0</v>
      </c>
      <c r="H50" s="39">
        <f t="shared" si="2"/>
        <v>0</v>
      </c>
    </row>
    <row r="51" spans="1:8" ht="32.25" customHeight="1">
      <c r="A51" s="7" t="s">
        <v>105</v>
      </c>
      <c r="B51" s="8" t="s">
        <v>102</v>
      </c>
      <c r="C51" s="8" t="s">
        <v>135</v>
      </c>
      <c r="D51" s="8" t="s">
        <v>664</v>
      </c>
      <c r="E51" s="8" t="s">
        <v>98</v>
      </c>
      <c r="F51" s="49">
        <f t="shared" si="2"/>
        <v>194.7</v>
      </c>
      <c r="G51" s="39">
        <f t="shared" si="2"/>
        <v>0</v>
      </c>
      <c r="H51" s="39">
        <f t="shared" si="2"/>
        <v>0</v>
      </c>
    </row>
    <row r="52" spans="1:8" ht="52.5" customHeight="1">
      <c r="A52" s="7" t="s">
        <v>136</v>
      </c>
      <c r="B52" s="8" t="s">
        <v>102</v>
      </c>
      <c r="C52" s="8" t="s">
        <v>135</v>
      </c>
      <c r="D52" s="8" t="s">
        <v>137</v>
      </c>
      <c r="E52" s="8" t="s">
        <v>98</v>
      </c>
      <c r="F52" s="49">
        <f t="shared" si="2"/>
        <v>194.7</v>
      </c>
      <c r="G52" s="39">
        <f t="shared" si="2"/>
        <v>0</v>
      </c>
      <c r="H52" s="39">
        <f t="shared" si="2"/>
        <v>0</v>
      </c>
    </row>
    <row r="53" spans="1:8" ht="38.25">
      <c r="A53" s="7" t="s">
        <v>115</v>
      </c>
      <c r="B53" s="8" t="s">
        <v>102</v>
      </c>
      <c r="C53" s="8" t="s">
        <v>135</v>
      </c>
      <c r="D53" s="8" t="s">
        <v>137</v>
      </c>
      <c r="E53" s="8" t="s">
        <v>116</v>
      </c>
      <c r="F53" s="49">
        <f>194.7</f>
        <v>194.7</v>
      </c>
      <c r="G53" s="39">
        <v>0</v>
      </c>
      <c r="H53" s="39">
        <v>0</v>
      </c>
    </row>
    <row r="54" spans="1:8" ht="18" customHeight="1">
      <c r="A54" s="7" t="s">
        <v>139</v>
      </c>
      <c r="B54" s="8" t="s">
        <v>102</v>
      </c>
      <c r="C54" s="8" t="s">
        <v>140</v>
      </c>
      <c r="D54" s="8" t="s">
        <v>99</v>
      </c>
      <c r="E54" s="8" t="s">
        <v>98</v>
      </c>
      <c r="F54" s="49">
        <f aca="true" t="shared" si="3" ref="F54:H56">F55</f>
        <v>-0.020999999999958163</v>
      </c>
      <c r="G54" s="39">
        <f t="shared" si="3"/>
        <v>8000</v>
      </c>
      <c r="H54" s="39">
        <f t="shared" si="3"/>
        <v>8000</v>
      </c>
    </row>
    <row r="55" spans="1:8" ht="20.25" customHeight="1">
      <c r="A55" s="7" t="s">
        <v>139</v>
      </c>
      <c r="B55" s="8" t="s">
        <v>102</v>
      </c>
      <c r="C55" s="8" t="s">
        <v>140</v>
      </c>
      <c r="D55" s="8" t="s">
        <v>665</v>
      </c>
      <c r="E55" s="8" t="s">
        <v>98</v>
      </c>
      <c r="F55" s="49">
        <f t="shared" si="3"/>
        <v>-0.020999999999958163</v>
      </c>
      <c r="G55" s="39">
        <f t="shared" si="3"/>
        <v>8000</v>
      </c>
      <c r="H55" s="39">
        <f t="shared" si="3"/>
        <v>8000</v>
      </c>
    </row>
    <row r="56" spans="1:8" ht="27" customHeight="1">
      <c r="A56" s="7" t="s">
        <v>141</v>
      </c>
      <c r="B56" s="8" t="s">
        <v>102</v>
      </c>
      <c r="C56" s="8" t="s">
        <v>140</v>
      </c>
      <c r="D56" s="8" t="s">
        <v>142</v>
      </c>
      <c r="E56" s="8" t="s">
        <v>98</v>
      </c>
      <c r="F56" s="49">
        <f t="shared" si="3"/>
        <v>-0.020999999999958163</v>
      </c>
      <c r="G56" s="39">
        <f t="shared" si="3"/>
        <v>8000</v>
      </c>
      <c r="H56" s="39">
        <f t="shared" si="3"/>
        <v>8000</v>
      </c>
    </row>
    <row r="57" spans="1:8" ht="18" customHeight="1">
      <c r="A57" s="7" t="s">
        <v>143</v>
      </c>
      <c r="B57" s="8" t="s">
        <v>102</v>
      </c>
      <c r="C57" s="8" t="s">
        <v>140</v>
      </c>
      <c r="D57" s="8" t="s">
        <v>142</v>
      </c>
      <c r="E57" s="8" t="s">
        <v>144</v>
      </c>
      <c r="F57" s="49">
        <f>3311.9+7.479+10.4-502.6-24.9-1800.3-142-51.2+2.7-233.5-578</f>
        <v>-0.020999999999958163</v>
      </c>
      <c r="G57" s="39">
        <v>8000</v>
      </c>
      <c r="H57" s="39">
        <v>8000</v>
      </c>
    </row>
    <row r="58" spans="1:8" ht="21" customHeight="1">
      <c r="A58" s="7" t="s">
        <v>145</v>
      </c>
      <c r="B58" s="8" t="s">
        <v>102</v>
      </c>
      <c r="C58" s="8" t="s">
        <v>146</v>
      </c>
      <c r="D58" s="8" t="s">
        <v>99</v>
      </c>
      <c r="E58" s="8" t="s">
        <v>98</v>
      </c>
      <c r="F58" s="49">
        <f>F59+F69+F72+F83+F86+F90</f>
        <v>24528.829999999998</v>
      </c>
      <c r="G58" s="39">
        <f>G59+G72+G85+G93</f>
        <v>20089.2</v>
      </c>
      <c r="H58" s="39">
        <f>H59+H72+H85+H93</f>
        <v>20039.2</v>
      </c>
    </row>
    <row r="59" spans="1:8" ht="29.25" customHeight="1">
      <c r="A59" s="7" t="s">
        <v>105</v>
      </c>
      <c r="B59" s="8" t="s">
        <v>102</v>
      </c>
      <c r="C59" s="8" t="s">
        <v>146</v>
      </c>
      <c r="D59" s="8" t="s">
        <v>663</v>
      </c>
      <c r="E59" s="8" t="s">
        <v>98</v>
      </c>
      <c r="F59" s="49">
        <f>F60+F62+F66</f>
        <v>1423.0300000000002</v>
      </c>
      <c r="G59" s="39">
        <f>G60+G62+G66</f>
        <v>1423</v>
      </c>
      <c r="H59" s="39">
        <f>H60+H62+H66</f>
        <v>1423</v>
      </c>
    </row>
    <row r="60" spans="1:8" ht="57.75" customHeight="1">
      <c r="A60" s="7" t="s">
        <v>147</v>
      </c>
      <c r="B60" s="8" t="s">
        <v>102</v>
      </c>
      <c r="C60" s="8" t="s">
        <v>146</v>
      </c>
      <c r="D60" s="8" t="s">
        <v>148</v>
      </c>
      <c r="E60" s="8" t="s">
        <v>98</v>
      </c>
      <c r="F60" s="48">
        <f>F61</f>
        <v>22</v>
      </c>
      <c r="G60" s="39">
        <f>G61</f>
        <v>22</v>
      </c>
      <c r="H60" s="39">
        <f>H61</f>
        <v>22</v>
      </c>
    </row>
    <row r="61" spans="1:8" ht="40.5" customHeight="1">
      <c r="A61" s="7" t="s">
        <v>115</v>
      </c>
      <c r="B61" s="8" t="s">
        <v>102</v>
      </c>
      <c r="C61" s="8" t="s">
        <v>146</v>
      </c>
      <c r="D61" s="8" t="s">
        <v>148</v>
      </c>
      <c r="E61" s="8" t="s">
        <v>116</v>
      </c>
      <c r="F61" s="48">
        <v>22</v>
      </c>
      <c r="G61" s="39">
        <v>22</v>
      </c>
      <c r="H61" s="39">
        <v>22</v>
      </c>
    </row>
    <row r="62" spans="1:8" ht="45.75" customHeight="1">
      <c r="A62" s="7" t="s">
        <v>149</v>
      </c>
      <c r="B62" s="8" t="s">
        <v>102</v>
      </c>
      <c r="C62" s="8" t="s">
        <v>146</v>
      </c>
      <c r="D62" s="8" t="s">
        <v>150</v>
      </c>
      <c r="E62" s="8" t="s">
        <v>98</v>
      </c>
      <c r="F62" s="48">
        <f>F63+F64+F65</f>
        <v>1286.0300000000002</v>
      </c>
      <c r="G62" s="39">
        <f>G63+G64+G65</f>
        <v>1286</v>
      </c>
      <c r="H62" s="39">
        <f>H63+H64+H65</f>
        <v>1286</v>
      </c>
    </row>
    <row r="63" spans="1:8" ht="17.25" customHeight="1">
      <c r="A63" s="7" t="s">
        <v>107</v>
      </c>
      <c r="B63" s="8" t="s">
        <v>102</v>
      </c>
      <c r="C63" s="8" t="s">
        <v>146</v>
      </c>
      <c r="D63" s="8" t="s">
        <v>150</v>
      </c>
      <c r="E63" s="8" t="s">
        <v>108</v>
      </c>
      <c r="F63" s="48">
        <f>1061.13</f>
        <v>1061.13</v>
      </c>
      <c r="G63" s="39">
        <v>1061.13</v>
      </c>
      <c r="H63" s="39">
        <v>1061.13</v>
      </c>
    </row>
    <row r="64" spans="1:8" ht="44.25" customHeight="1">
      <c r="A64" s="7" t="s">
        <v>119</v>
      </c>
      <c r="B64" s="8" t="s">
        <v>102</v>
      </c>
      <c r="C64" s="8" t="s">
        <v>146</v>
      </c>
      <c r="D64" s="8" t="s">
        <v>150</v>
      </c>
      <c r="E64" s="8" t="s">
        <v>120</v>
      </c>
      <c r="F64" s="48">
        <f>65.9-4+1+5</f>
        <v>67.9</v>
      </c>
      <c r="G64" s="39">
        <v>30</v>
      </c>
      <c r="H64" s="39">
        <v>30</v>
      </c>
    </row>
    <row r="65" spans="1:8" ht="38.25">
      <c r="A65" s="7" t="s">
        <v>115</v>
      </c>
      <c r="B65" s="8" t="s">
        <v>102</v>
      </c>
      <c r="C65" s="8" t="s">
        <v>146</v>
      </c>
      <c r="D65" s="8" t="s">
        <v>150</v>
      </c>
      <c r="E65" s="8" t="s">
        <v>116</v>
      </c>
      <c r="F65" s="48">
        <f>159-41+45-1-5</f>
        <v>157</v>
      </c>
      <c r="G65" s="39">
        <v>194.87</v>
      </c>
      <c r="H65" s="39">
        <v>194.87</v>
      </c>
    </row>
    <row r="66" spans="1:8" ht="18" customHeight="1">
      <c r="A66" s="7" t="s">
        <v>151</v>
      </c>
      <c r="B66" s="8" t="s">
        <v>102</v>
      </c>
      <c r="C66" s="8" t="s">
        <v>146</v>
      </c>
      <c r="D66" s="8" t="s">
        <v>152</v>
      </c>
      <c r="E66" s="8" t="s">
        <v>98</v>
      </c>
      <c r="F66" s="48">
        <f>F67+F68</f>
        <v>115</v>
      </c>
      <c r="G66" s="39">
        <f>G67+G68</f>
        <v>115</v>
      </c>
      <c r="H66" s="39">
        <f>H67+H68</f>
        <v>115</v>
      </c>
    </row>
    <row r="67" spans="1:8" ht="39" customHeight="1">
      <c r="A67" s="7" t="s">
        <v>119</v>
      </c>
      <c r="B67" s="8" t="s">
        <v>102</v>
      </c>
      <c r="C67" s="8" t="s">
        <v>146</v>
      </c>
      <c r="D67" s="8" t="s">
        <v>152</v>
      </c>
      <c r="E67" s="8" t="s">
        <v>120</v>
      </c>
      <c r="F67" s="49">
        <f>22.4+1.5</f>
        <v>23.9</v>
      </c>
      <c r="G67" s="39">
        <v>70</v>
      </c>
      <c r="H67" s="39">
        <v>70</v>
      </c>
    </row>
    <row r="68" spans="1:8" ht="39.75" customHeight="1">
      <c r="A68" s="7" t="s">
        <v>115</v>
      </c>
      <c r="B68" s="8" t="s">
        <v>102</v>
      </c>
      <c r="C68" s="8" t="s">
        <v>146</v>
      </c>
      <c r="D68" s="8" t="s">
        <v>152</v>
      </c>
      <c r="E68" s="8" t="s">
        <v>116</v>
      </c>
      <c r="F68" s="49">
        <f>57.8+34.8-1.5</f>
        <v>91.1</v>
      </c>
      <c r="G68" s="39">
        <v>45</v>
      </c>
      <c r="H68" s="39">
        <v>45</v>
      </c>
    </row>
    <row r="69" spans="1:8" ht="24" customHeight="1">
      <c r="A69" s="7" t="s">
        <v>139</v>
      </c>
      <c r="B69" s="8" t="s">
        <v>102</v>
      </c>
      <c r="C69" s="8" t="s">
        <v>146</v>
      </c>
      <c r="D69" s="8" t="s">
        <v>62</v>
      </c>
      <c r="E69" s="8"/>
      <c r="F69" s="49">
        <f>F70</f>
        <v>893.3</v>
      </c>
      <c r="G69" s="39"/>
      <c r="H69" s="39"/>
    </row>
    <row r="70" spans="1:8" ht="31.5" customHeight="1">
      <c r="A70" s="7" t="s">
        <v>141</v>
      </c>
      <c r="B70" s="8" t="s">
        <v>102</v>
      </c>
      <c r="C70" s="8" t="s">
        <v>146</v>
      </c>
      <c r="D70" s="8" t="s">
        <v>142</v>
      </c>
      <c r="E70" s="8" t="s">
        <v>98</v>
      </c>
      <c r="F70" s="49">
        <f>F71</f>
        <v>893.3</v>
      </c>
      <c r="G70" s="39"/>
      <c r="H70" s="39"/>
    </row>
    <row r="71" spans="1:8" ht="18" customHeight="1">
      <c r="A71" s="7" t="s">
        <v>278</v>
      </c>
      <c r="B71" s="8" t="s">
        <v>102</v>
      </c>
      <c r="C71" s="8" t="s">
        <v>146</v>
      </c>
      <c r="D71" s="8" t="s">
        <v>142</v>
      </c>
      <c r="E71" s="8" t="s">
        <v>561</v>
      </c>
      <c r="F71" s="49">
        <f>893.3</f>
        <v>893.3</v>
      </c>
      <c r="G71" s="39"/>
      <c r="H71" s="39"/>
    </row>
    <row r="72" spans="1:8" ht="41.25" customHeight="1">
      <c r="A72" s="7" t="s">
        <v>153</v>
      </c>
      <c r="B72" s="8" t="s">
        <v>102</v>
      </c>
      <c r="C72" s="8" t="s">
        <v>146</v>
      </c>
      <c r="D72" s="8" t="s">
        <v>666</v>
      </c>
      <c r="E72" s="8" t="s">
        <v>98</v>
      </c>
      <c r="F72" s="49">
        <f>F73+F76+F80+F78</f>
        <v>8445</v>
      </c>
      <c r="G72" s="39">
        <f>G73+G76+G80+G78</f>
        <v>5565.3</v>
      </c>
      <c r="H72" s="39">
        <f>H73+H76+H80+H78</f>
        <v>5565.3</v>
      </c>
    </row>
    <row r="73" spans="1:8" ht="40.5" customHeight="1">
      <c r="A73" s="7" t="s">
        <v>154</v>
      </c>
      <c r="B73" s="8" t="s">
        <v>102</v>
      </c>
      <c r="C73" s="8" t="s">
        <v>146</v>
      </c>
      <c r="D73" s="8" t="s">
        <v>155</v>
      </c>
      <c r="E73" s="8" t="s">
        <v>98</v>
      </c>
      <c r="F73" s="49">
        <f>F74+F75</f>
        <v>808.5</v>
      </c>
      <c r="G73" s="39">
        <f>G74+G75</f>
        <v>685.3</v>
      </c>
      <c r="H73" s="39">
        <f>H74+H75</f>
        <v>685.3</v>
      </c>
    </row>
    <row r="74" spans="1:8" ht="38.25">
      <c r="A74" s="7" t="s">
        <v>115</v>
      </c>
      <c r="B74" s="8" t="s">
        <v>102</v>
      </c>
      <c r="C74" s="8" t="s">
        <v>146</v>
      </c>
      <c r="D74" s="8" t="s">
        <v>155</v>
      </c>
      <c r="E74" s="8" t="s">
        <v>116</v>
      </c>
      <c r="F74" s="49">
        <f>680.3+10+17.2+3.9+0.1+92</f>
        <v>803.5</v>
      </c>
      <c r="G74" s="39">
        <v>680.3</v>
      </c>
      <c r="H74" s="39">
        <v>680.3</v>
      </c>
    </row>
    <row r="75" spans="1:8" ht="45.75" customHeight="1">
      <c r="A75" s="7" t="s">
        <v>157</v>
      </c>
      <c r="B75" s="8" t="s">
        <v>102</v>
      </c>
      <c r="C75" s="8" t="s">
        <v>146</v>
      </c>
      <c r="D75" s="8" t="s">
        <v>155</v>
      </c>
      <c r="E75" s="8" t="s">
        <v>158</v>
      </c>
      <c r="F75" s="49">
        <v>5</v>
      </c>
      <c r="G75" s="39">
        <v>5</v>
      </c>
      <c r="H75" s="39">
        <v>5</v>
      </c>
    </row>
    <row r="76" spans="1:8" ht="67.5" customHeight="1">
      <c r="A76" s="7" t="s">
        <v>159</v>
      </c>
      <c r="B76" s="8" t="s">
        <v>102</v>
      </c>
      <c r="C76" s="8" t="s">
        <v>146</v>
      </c>
      <c r="D76" s="8" t="s">
        <v>160</v>
      </c>
      <c r="E76" s="8" t="s">
        <v>98</v>
      </c>
      <c r="F76" s="49">
        <f>F77</f>
        <v>0</v>
      </c>
      <c r="G76" s="39">
        <f>G77</f>
        <v>450</v>
      </c>
      <c r="H76" s="39">
        <f>H77</f>
        <v>450</v>
      </c>
    </row>
    <row r="77" spans="1:8" ht="41.25" customHeight="1">
      <c r="A77" s="7" t="s">
        <v>115</v>
      </c>
      <c r="B77" s="8" t="s">
        <v>102</v>
      </c>
      <c r="C77" s="8" t="s">
        <v>146</v>
      </c>
      <c r="D77" s="8" t="s">
        <v>160</v>
      </c>
      <c r="E77" s="8" t="s">
        <v>116</v>
      </c>
      <c r="F77" s="49">
        <f>450-450</f>
        <v>0</v>
      </c>
      <c r="G77" s="39">
        <v>450</v>
      </c>
      <c r="H77" s="39">
        <v>450</v>
      </c>
    </row>
    <row r="78" spans="1:8" ht="25.5" customHeight="1">
      <c r="A78" s="7" t="s">
        <v>161</v>
      </c>
      <c r="B78" s="8" t="s">
        <v>102</v>
      </c>
      <c r="C78" s="8" t="s">
        <v>146</v>
      </c>
      <c r="D78" s="8" t="s">
        <v>162</v>
      </c>
      <c r="E78" s="8" t="s">
        <v>98</v>
      </c>
      <c r="F78" s="49">
        <f>F79</f>
        <v>1022.5</v>
      </c>
      <c r="G78" s="39">
        <f>G79</f>
        <v>1116</v>
      </c>
      <c r="H78" s="39">
        <f>H79</f>
        <v>1116</v>
      </c>
    </row>
    <row r="79" spans="1:8" ht="38.25">
      <c r="A79" s="7" t="s">
        <v>115</v>
      </c>
      <c r="B79" s="8" t="s">
        <v>102</v>
      </c>
      <c r="C79" s="8" t="s">
        <v>146</v>
      </c>
      <c r="D79" s="8" t="s">
        <v>162</v>
      </c>
      <c r="E79" s="8" t="s">
        <v>116</v>
      </c>
      <c r="F79" s="48">
        <f>1116-100-23+29.5</f>
        <v>1022.5</v>
      </c>
      <c r="G79" s="39">
        <v>1116</v>
      </c>
      <c r="H79" s="39">
        <v>1116</v>
      </c>
    </row>
    <row r="80" spans="1:8" ht="25.5">
      <c r="A80" s="7" t="s">
        <v>164</v>
      </c>
      <c r="B80" s="8" t="s">
        <v>102</v>
      </c>
      <c r="C80" s="8" t="s">
        <v>146</v>
      </c>
      <c r="D80" s="8" t="s">
        <v>165</v>
      </c>
      <c r="E80" s="8" t="s">
        <v>98</v>
      </c>
      <c r="F80" s="49">
        <f>F81</f>
        <v>6614</v>
      </c>
      <c r="G80" s="39">
        <f>G82</f>
        <v>3314</v>
      </c>
      <c r="H80" s="39">
        <f>H82</f>
        <v>3314</v>
      </c>
    </row>
    <row r="81" spans="1:8" ht="76.5">
      <c r="A81" s="7" t="s">
        <v>208</v>
      </c>
      <c r="B81" s="8" t="s">
        <v>102</v>
      </c>
      <c r="C81" s="8" t="s">
        <v>146</v>
      </c>
      <c r="D81" s="8" t="s">
        <v>167</v>
      </c>
      <c r="E81" s="8" t="s">
        <v>209</v>
      </c>
      <c r="F81" s="49">
        <f>3314+100+1000+1000+1000+200</f>
        <v>6614</v>
      </c>
      <c r="G81" s="39"/>
      <c r="H81" s="39"/>
    </row>
    <row r="82" spans="1:8" ht="25.5">
      <c r="A82" s="7" t="s">
        <v>170</v>
      </c>
      <c r="B82" s="8" t="s">
        <v>102</v>
      </c>
      <c r="C82" s="8" t="s">
        <v>146</v>
      </c>
      <c r="D82" s="8" t="s">
        <v>165</v>
      </c>
      <c r="E82" s="8" t="s">
        <v>171</v>
      </c>
      <c r="F82" s="49">
        <f>3314-3314</f>
        <v>0</v>
      </c>
      <c r="G82" s="39">
        <v>3314</v>
      </c>
      <c r="H82" s="39">
        <v>3314</v>
      </c>
    </row>
    <row r="83" spans="1:8" ht="25.5">
      <c r="A83" s="7" t="s">
        <v>175</v>
      </c>
      <c r="B83" s="8" t="s">
        <v>102</v>
      </c>
      <c r="C83" s="8" t="s">
        <v>146</v>
      </c>
      <c r="D83" s="8" t="s">
        <v>667</v>
      </c>
      <c r="E83" s="8" t="s">
        <v>98</v>
      </c>
      <c r="F83" s="49">
        <f aca="true" t="shared" si="4" ref="F83:H84">F84</f>
        <v>9879.4</v>
      </c>
      <c r="G83" s="39">
        <f t="shared" si="4"/>
        <v>9000.9</v>
      </c>
      <c r="H83" s="39">
        <f t="shared" si="4"/>
        <v>9000.9</v>
      </c>
    </row>
    <row r="84" spans="1:8" ht="57" customHeight="1">
      <c r="A84" s="7" t="s">
        <v>176</v>
      </c>
      <c r="B84" s="8" t="s">
        <v>102</v>
      </c>
      <c r="C84" s="8" t="s">
        <v>146</v>
      </c>
      <c r="D84" s="8" t="s">
        <v>177</v>
      </c>
      <c r="E84" s="8" t="s">
        <v>98</v>
      </c>
      <c r="F84" s="49">
        <f t="shared" si="4"/>
        <v>9879.4</v>
      </c>
      <c r="G84" s="39">
        <f t="shared" si="4"/>
        <v>9000.9</v>
      </c>
      <c r="H84" s="39">
        <f t="shared" si="4"/>
        <v>9000.9</v>
      </c>
    </row>
    <row r="85" spans="1:8" ht="18" customHeight="1">
      <c r="A85" s="7" t="s">
        <v>107</v>
      </c>
      <c r="B85" s="8" t="s">
        <v>102</v>
      </c>
      <c r="C85" s="8" t="s">
        <v>146</v>
      </c>
      <c r="D85" s="8" t="s">
        <v>177</v>
      </c>
      <c r="E85" s="8" t="s">
        <v>178</v>
      </c>
      <c r="F85" s="49">
        <f>9000.9+71+13+12+9+11+14+9+100+339.5+0.1+299.9</f>
        <v>9879.4</v>
      </c>
      <c r="G85" s="39">
        <v>9000.9</v>
      </c>
      <c r="H85" s="39">
        <v>9000.9</v>
      </c>
    </row>
    <row r="86" spans="1:8" ht="18" customHeight="1">
      <c r="A86" s="7" t="s">
        <v>279</v>
      </c>
      <c r="B86" s="8" t="s">
        <v>102</v>
      </c>
      <c r="C86" s="8" t="s">
        <v>146</v>
      </c>
      <c r="D86" s="8" t="s">
        <v>280</v>
      </c>
      <c r="E86" s="8"/>
      <c r="F86" s="49">
        <f>F87</f>
        <v>780</v>
      </c>
      <c r="G86" s="39"/>
      <c r="H86" s="39"/>
    </row>
    <row r="87" spans="1:8" ht="94.5" customHeight="1">
      <c r="A87" s="18" t="s">
        <v>281</v>
      </c>
      <c r="B87" s="8" t="s">
        <v>102</v>
      </c>
      <c r="C87" s="8" t="s">
        <v>146</v>
      </c>
      <c r="D87" s="8" t="s">
        <v>553</v>
      </c>
      <c r="E87" s="8"/>
      <c r="F87" s="49">
        <f>F88+F89</f>
        <v>780</v>
      </c>
      <c r="G87" s="39"/>
      <c r="H87" s="39"/>
    </row>
    <row r="88" spans="1:8" ht="18" customHeight="1">
      <c r="A88" s="7" t="s">
        <v>107</v>
      </c>
      <c r="B88" s="8" t="s">
        <v>102</v>
      </c>
      <c r="C88" s="8" t="s">
        <v>146</v>
      </c>
      <c r="D88" s="8" t="s">
        <v>553</v>
      </c>
      <c r="E88" s="8" t="s">
        <v>108</v>
      </c>
      <c r="F88" s="49">
        <f>670.3</f>
        <v>670.3</v>
      </c>
      <c r="G88" s="39"/>
      <c r="H88" s="39"/>
    </row>
    <row r="89" spans="1:8" ht="87" customHeight="1">
      <c r="A89" s="7" t="s">
        <v>208</v>
      </c>
      <c r="B89" s="8" t="s">
        <v>102</v>
      </c>
      <c r="C89" s="8" t="s">
        <v>146</v>
      </c>
      <c r="D89" s="8" t="s">
        <v>553</v>
      </c>
      <c r="E89" s="8" t="s">
        <v>209</v>
      </c>
      <c r="F89" s="49">
        <f>109.7</f>
        <v>109.7</v>
      </c>
      <c r="G89" s="39"/>
      <c r="H89" s="39"/>
    </row>
    <row r="90" spans="1:8" ht="18" customHeight="1">
      <c r="A90" s="7" t="s">
        <v>673</v>
      </c>
      <c r="B90" s="8" t="s">
        <v>102</v>
      </c>
      <c r="C90" s="8" t="s">
        <v>146</v>
      </c>
      <c r="D90" s="8" t="s">
        <v>676</v>
      </c>
      <c r="E90" s="8"/>
      <c r="F90" s="49">
        <f>F91+F94+0.1</f>
        <v>3108.1</v>
      </c>
      <c r="G90" s="39"/>
      <c r="H90" s="39"/>
    </row>
    <row r="91" spans="1:8" ht="28.5" customHeight="1">
      <c r="A91" s="7" t="s">
        <v>180</v>
      </c>
      <c r="B91" s="8" t="s">
        <v>102</v>
      </c>
      <c r="C91" s="8" t="s">
        <v>146</v>
      </c>
      <c r="D91" s="8" t="s">
        <v>560</v>
      </c>
      <c r="E91" s="8" t="s">
        <v>98</v>
      </c>
      <c r="F91" s="49">
        <f>F92</f>
        <v>0</v>
      </c>
      <c r="G91" s="39"/>
      <c r="H91" s="39"/>
    </row>
    <row r="92" spans="1:8" ht="18" customHeight="1">
      <c r="A92" s="7" t="s">
        <v>115</v>
      </c>
      <c r="B92" s="8" t="s">
        <v>102</v>
      </c>
      <c r="C92" s="8" t="s">
        <v>146</v>
      </c>
      <c r="D92" s="8" t="s">
        <v>560</v>
      </c>
      <c r="E92" s="8" t="s">
        <v>116</v>
      </c>
      <c r="F92" s="49">
        <f>2017.8-2017.8</f>
        <v>0</v>
      </c>
      <c r="G92" s="39"/>
      <c r="H92" s="39"/>
    </row>
    <row r="93" spans="1:8" ht="27" customHeight="1">
      <c r="A93" s="7" t="s">
        <v>180</v>
      </c>
      <c r="B93" s="8" t="s">
        <v>102</v>
      </c>
      <c r="C93" s="8" t="s">
        <v>146</v>
      </c>
      <c r="D93" s="8" t="s">
        <v>570</v>
      </c>
      <c r="E93" s="8" t="s">
        <v>98</v>
      </c>
      <c r="F93" s="49">
        <f>F94</f>
        <v>3108</v>
      </c>
      <c r="G93" s="39">
        <f>G94</f>
        <v>4100</v>
      </c>
      <c r="H93" s="39">
        <f>H94</f>
        <v>4050</v>
      </c>
    </row>
    <row r="94" spans="1:8" ht="30.75" customHeight="1">
      <c r="A94" s="7" t="s">
        <v>115</v>
      </c>
      <c r="B94" s="8" t="s">
        <v>102</v>
      </c>
      <c r="C94" s="8" t="s">
        <v>146</v>
      </c>
      <c r="D94" s="8" t="s">
        <v>570</v>
      </c>
      <c r="E94" s="8" t="s">
        <v>116</v>
      </c>
      <c r="F94" s="49">
        <f>3930-1082.4-2017.8+2017.8+260.4</f>
        <v>3108</v>
      </c>
      <c r="G94" s="39">
        <v>4100</v>
      </c>
      <c r="H94" s="39">
        <v>4050</v>
      </c>
    </row>
    <row r="95" spans="1:8" ht="18" customHeight="1">
      <c r="A95" s="77" t="s">
        <v>181</v>
      </c>
      <c r="B95" s="76" t="s">
        <v>104</v>
      </c>
      <c r="C95" s="76" t="s">
        <v>98</v>
      </c>
      <c r="D95" s="76" t="s">
        <v>99</v>
      </c>
      <c r="E95" s="76" t="s">
        <v>98</v>
      </c>
      <c r="F95" s="75">
        <f aca="true" t="shared" si="5" ref="F95:H97">F96</f>
        <v>1618</v>
      </c>
      <c r="G95" s="75">
        <f t="shared" si="5"/>
        <v>5352</v>
      </c>
      <c r="H95" s="75">
        <f t="shared" si="5"/>
        <v>6288.3</v>
      </c>
    </row>
    <row r="96" spans="1:8" ht="30.75" customHeight="1">
      <c r="A96" s="18" t="s">
        <v>182</v>
      </c>
      <c r="B96" s="13" t="s">
        <v>104</v>
      </c>
      <c r="C96" s="13" t="s">
        <v>110</v>
      </c>
      <c r="D96" s="13" t="s">
        <v>99</v>
      </c>
      <c r="E96" s="8" t="s">
        <v>98</v>
      </c>
      <c r="F96" s="49">
        <f t="shared" si="5"/>
        <v>1618</v>
      </c>
      <c r="G96" s="39">
        <f t="shared" si="5"/>
        <v>5352</v>
      </c>
      <c r="H96" s="39">
        <f t="shared" si="5"/>
        <v>6288.3</v>
      </c>
    </row>
    <row r="97" spans="1:8" ht="33" customHeight="1">
      <c r="A97" s="7" t="s">
        <v>105</v>
      </c>
      <c r="B97" s="8" t="s">
        <v>104</v>
      </c>
      <c r="C97" s="8" t="s">
        <v>110</v>
      </c>
      <c r="D97" s="8" t="s">
        <v>663</v>
      </c>
      <c r="E97" s="8" t="s">
        <v>98</v>
      </c>
      <c r="F97" s="49">
        <f t="shared" si="5"/>
        <v>1618</v>
      </c>
      <c r="G97" s="39">
        <f t="shared" si="5"/>
        <v>5352</v>
      </c>
      <c r="H97" s="39">
        <f t="shared" si="5"/>
        <v>6288.3</v>
      </c>
    </row>
    <row r="98" spans="1:8" ht="44.25" customHeight="1">
      <c r="A98" s="7" t="s">
        <v>183</v>
      </c>
      <c r="B98" s="8" t="s">
        <v>104</v>
      </c>
      <c r="C98" s="8" t="s">
        <v>110</v>
      </c>
      <c r="D98" s="8" t="s">
        <v>184</v>
      </c>
      <c r="E98" s="8" t="s">
        <v>98</v>
      </c>
      <c r="F98" s="49">
        <f>F99+F100+F101+F102</f>
        <v>1618</v>
      </c>
      <c r="G98" s="39">
        <f>G99+G100+G101+G102</f>
        <v>5352</v>
      </c>
      <c r="H98" s="39">
        <f>H99+H100+H101+H102</f>
        <v>6288.3</v>
      </c>
    </row>
    <row r="99" spans="1:8" ht="17.25" customHeight="1">
      <c r="A99" s="7" t="s">
        <v>107</v>
      </c>
      <c r="B99" s="8" t="s">
        <v>104</v>
      </c>
      <c r="C99" s="8" t="s">
        <v>110</v>
      </c>
      <c r="D99" s="8" t="s">
        <v>184</v>
      </c>
      <c r="E99" s="8" t="s">
        <v>178</v>
      </c>
      <c r="F99" s="49">
        <f>1744.8-96.7-61.7-69-82.1+100+55.9</f>
        <v>1591.2</v>
      </c>
      <c r="G99" s="39">
        <v>1744.8</v>
      </c>
      <c r="H99" s="39">
        <v>1744.8</v>
      </c>
    </row>
    <row r="100" spans="1:8" ht="32.25" customHeight="1">
      <c r="A100" s="7" t="s">
        <v>126</v>
      </c>
      <c r="B100" s="8" t="s">
        <v>104</v>
      </c>
      <c r="C100" s="8" t="s">
        <v>110</v>
      </c>
      <c r="D100" s="8" t="s">
        <v>184</v>
      </c>
      <c r="E100" s="8" t="s">
        <v>185</v>
      </c>
      <c r="F100" s="49">
        <f>0.6-0.5</f>
        <v>0.09999999999999998</v>
      </c>
      <c r="G100" s="39">
        <v>0</v>
      </c>
      <c r="H100" s="39">
        <v>0</v>
      </c>
    </row>
    <row r="101" spans="1:8" ht="44.25" customHeight="1">
      <c r="A101" s="7" t="s">
        <v>119</v>
      </c>
      <c r="B101" s="8" t="s">
        <v>104</v>
      </c>
      <c r="C101" s="8" t="s">
        <v>110</v>
      </c>
      <c r="D101" s="8" t="s">
        <v>184</v>
      </c>
      <c r="E101" s="8" t="s">
        <v>120</v>
      </c>
      <c r="F101" s="49">
        <f>25.15-9.4</f>
        <v>15.749999999999998</v>
      </c>
      <c r="G101" s="39">
        <v>86</v>
      </c>
      <c r="H101" s="39">
        <v>86</v>
      </c>
    </row>
    <row r="102" spans="1:8" ht="43.5" customHeight="1">
      <c r="A102" s="7" t="s">
        <v>115</v>
      </c>
      <c r="B102" s="8" t="s">
        <v>104</v>
      </c>
      <c r="C102" s="8" t="s">
        <v>110</v>
      </c>
      <c r="D102" s="8" t="s">
        <v>184</v>
      </c>
      <c r="E102" s="8" t="s">
        <v>116</v>
      </c>
      <c r="F102" s="49">
        <f>57.45-46.5</f>
        <v>10.950000000000003</v>
      </c>
      <c r="G102" s="39">
        <v>3521.2</v>
      </c>
      <c r="H102" s="39">
        <v>4457.5</v>
      </c>
    </row>
    <row r="103" spans="1:8" ht="32.25" customHeight="1">
      <c r="A103" s="17" t="s">
        <v>187</v>
      </c>
      <c r="B103" s="16" t="s">
        <v>110</v>
      </c>
      <c r="C103" s="16" t="s">
        <v>98</v>
      </c>
      <c r="D103" s="16" t="s">
        <v>99</v>
      </c>
      <c r="E103" s="16" t="s">
        <v>98</v>
      </c>
      <c r="F103" s="67">
        <f>F107+F115+F104</f>
        <v>6343.4</v>
      </c>
      <c r="G103" s="43">
        <f>G107</f>
        <v>4328.6</v>
      </c>
      <c r="H103" s="43">
        <f>H107</f>
        <v>4328.6</v>
      </c>
    </row>
    <row r="104" spans="1:8" ht="16.5" customHeight="1">
      <c r="A104" s="7" t="s">
        <v>139</v>
      </c>
      <c r="B104" s="8" t="s">
        <v>110</v>
      </c>
      <c r="C104" s="8" t="s">
        <v>189</v>
      </c>
      <c r="D104" s="8" t="s">
        <v>665</v>
      </c>
      <c r="E104" s="8" t="s">
        <v>98</v>
      </c>
      <c r="F104" s="67">
        <f>F105</f>
        <v>149.4</v>
      </c>
      <c r="G104" s="43"/>
      <c r="H104" s="43"/>
    </row>
    <row r="105" spans="1:8" ht="30" customHeight="1">
      <c r="A105" s="7" t="s">
        <v>141</v>
      </c>
      <c r="B105" s="8" t="s">
        <v>110</v>
      </c>
      <c r="C105" s="8" t="s">
        <v>189</v>
      </c>
      <c r="D105" s="8" t="s">
        <v>142</v>
      </c>
      <c r="E105" s="8" t="s">
        <v>98</v>
      </c>
      <c r="F105" s="67">
        <f>F106</f>
        <v>149.4</v>
      </c>
      <c r="G105" s="43"/>
      <c r="H105" s="43"/>
    </row>
    <row r="106" spans="1:8" ht="15" customHeight="1">
      <c r="A106" s="7" t="s">
        <v>143</v>
      </c>
      <c r="B106" s="8" t="s">
        <v>110</v>
      </c>
      <c r="C106" s="8" t="s">
        <v>189</v>
      </c>
      <c r="D106" s="8" t="s">
        <v>142</v>
      </c>
      <c r="E106" s="8" t="s">
        <v>144</v>
      </c>
      <c r="F106" s="67">
        <f>7.5+142-0.1</f>
        <v>149.4</v>
      </c>
      <c r="G106" s="43"/>
      <c r="H106" s="43"/>
    </row>
    <row r="107" spans="1:8" ht="59.25" customHeight="1">
      <c r="A107" s="7" t="s">
        <v>188</v>
      </c>
      <c r="B107" s="8" t="s">
        <v>110</v>
      </c>
      <c r="C107" s="8" t="s">
        <v>189</v>
      </c>
      <c r="D107" s="8" t="s">
        <v>99</v>
      </c>
      <c r="E107" s="8" t="s">
        <v>98</v>
      </c>
      <c r="F107" s="49">
        <f aca="true" t="shared" si="6" ref="F107:H108">F108</f>
        <v>4494</v>
      </c>
      <c r="G107" s="39">
        <f t="shared" si="6"/>
        <v>4328.6</v>
      </c>
      <c r="H107" s="39">
        <f t="shared" si="6"/>
        <v>4328.6</v>
      </c>
    </row>
    <row r="108" spans="1:8" ht="51">
      <c r="A108" s="7" t="s">
        <v>190</v>
      </c>
      <c r="B108" s="8" t="s">
        <v>110</v>
      </c>
      <c r="C108" s="8" t="s">
        <v>189</v>
      </c>
      <c r="D108" s="8" t="s">
        <v>668</v>
      </c>
      <c r="E108" s="8" t="s">
        <v>98</v>
      </c>
      <c r="F108" s="49">
        <f t="shared" si="6"/>
        <v>4494</v>
      </c>
      <c r="G108" s="39">
        <f t="shared" si="6"/>
        <v>4328.6</v>
      </c>
      <c r="H108" s="39">
        <f t="shared" si="6"/>
        <v>4328.6</v>
      </c>
    </row>
    <row r="109" spans="1:8" ht="30" customHeight="1">
      <c r="A109" s="7" t="s">
        <v>175</v>
      </c>
      <c r="B109" s="8" t="s">
        <v>110</v>
      </c>
      <c r="C109" s="8" t="s">
        <v>189</v>
      </c>
      <c r="D109" s="8" t="s">
        <v>191</v>
      </c>
      <c r="E109" s="8" t="s">
        <v>98</v>
      </c>
      <c r="F109" s="49">
        <f>F110+F111+F112+F113+F114</f>
        <v>4494</v>
      </c>
      <c r="G109" s="39">
        <f>G110+G111+G112+G113+G114</f>
        <v>4328.6</v>
      </c>
      <c r="H109" s="39">
        <f>H110+H111+H112+H113+H114</f>
        <v>4328.6</v>
      </c>
    </row>
    <row r="110" spans="1:8" ht="16.5" customHeight="1">
      <c r="A110" s="7" t="s">
        <v>107</v>
      </c>
      <c r="B110" s="8" t="s">
        <v>110</v>
      </c>
      <c r="C110" s="8" t="s">
        <v>189</v>
      </c>
      <c r="D110" s="8" t="s">
        <v>191</v>
      </c>
      <c r="E110" s="8" t="s">
        <v>178</v>
      </c>
      <c r="F110" s="49">
        <f>3558+54+110.8-1.5</f>
        <v>3721.3</v>
      </c>
      <c r="G110" s="39">
        <v>3558</v>
      </c>
      <c r="H110" s="39">
        <v>3558</v>
      </c>
    </row>
    <row r="111" spans="1:8" ht="30" customHeight="1">
      <c r="A111" s="7" t="s">
        <v>126</v>
      </c>
      <c r="B111" s="8" t="s">
        <v>110</v>
      </c>
      <c r="C111" s="8" t="s">
        <v>189</v>
      </c>
      <c r="D111" s="8" t="s">
        <v>191</v>
      </c>
      <c r="E111" s="8" t="s">
        <v>185</v>
      </c>
      <c r="F111" s="49">
        <f>2-0.5</f>
        <v>1.5</v>
      </c>
      <c r="G111" s="39">
        <v>3</v>
      </c>
      <c r="H111" s="39">
        <v>3</v>
      </c>
    </row>
    <row r="112" spans="1:8" ht="43.5" customHeight="1">
      <c r="A112" s="7" t="s">
        <v>119</v>
      </c>
      <c r="B112" s="8" t="s">
        <v>110</v>
      </c>
      <c r="C112" s="8" t="s">
        <v>189</v>
      </c>
      <c r="D112" s="8" t="s">
        <v>191</v>
      </c>
      <c r="E112" s="8" t="s">
        <v>120</v>
      </c>
      <c r="F112" s="49">
        <f>469-11+30.4-128.2</f>
        <v>360.2</v>
      </c>
      <c r="G112" s="39">
        <v>469</v>
      </c>
      <c r="H112" s="39">
        <v>469</v>
      </c>
    </row>
    <row r="113" spans="1:8" ht="38.25">
      <c r="A113" s="7" t="s">
        <v>115</v>
      </c>
      <c r="B113" s="8" t="s">
        <v>110</v>
      </c>
      <c r="C113" s="8" t="s">
        <v>189</v>
      </c>
      <c r="D113" s="8" t="s">
        <v>191</v>
      </c>
      <c r="E113" s="8" t="s">
        <v>116</v>
      </c>
      <c r="F113" s="49">
        <f>310.6+48+52.2</f>
        <v>410.8</v>
      </c>
      <c r="G113" s="39">
        <v>297.6</v>
      </c>
      <c r="H113" s="39">
        <v>297.6</v>
      </c>
    </row>
    <row r="114" spans="1:8" ht="30.75" customHeight="1">
      <c r="A114" s="7" t="s">
        <v>132</v>
      </c>
      <c r="B114" s="8" t="s">
        <v>110</v>
      </c>
      <c r="C114" s="8" t="s">
        <v>189</v>
      </c>
      <c r="D114" s="8" t="s">
        <v>191</v>
      </c>
      <c r="E114" s="8" t="s">
        <v>133</v>
      </c>
      <c r="F114" s="49">
        <v>0.2</v>
      </c>
      <c r="G114" s="39">
        <v>1</v>
      </c>
      <c r="H114" s="39">
        <v>1</v>
      </c>
    </row>
    <row r="115" spans="1:8" ht="16.5" customHeight="1">
      <c r="A115" s="7" t="s">
        <v>232</v>
      </c>
      <c r="B115" s="8" t="s">
        <v>110</v>
      </c>
      <c r="C115" s="8" t="s">
        <v>408</v>
      </c>
      <c r="D115" s="8" t="s">
        <v>25</v>
      </c>
      <c r="E115" s="8"/>
      <c r="F115" s="49">
        <f>F116</f>
        <v>1700</v>
      </c>
      <c r="G115" s="39"/>
      <c r="H115" s="39"/>
    </row>
    <row r="116" spans="1:8" ht="72.75" customHeight="1">
      <c r="A116" s="7" t="s">
        <v>262</v>
      </c>
      <c r="B116" s="8" t="s">
        <v>110</v>
      </c>
      <c r="C116" s="8" t="s">
        <v>408</v>
      </c>
      <c r="D116" s="8" t="s">
        <v>186</v>
      </c>
      <c r="E116" s="8"/>
      <c r="F116" s="49">
        <f>F117</f>
        <v>1700</v>
      </c>
      <c r="G116" s="39"/>
      <c r="H116" s="39"/>
    </row>
    <row r="117" spans="1:8" ht="30.75" customHeight="1">
      <c r="A117" s="7" t="s">
        <v>282</v>
      </c>
      <c r="B117" s="8" t="s">
        <v>110</v>
      </c>
      <c r="C117" s="8" t="s">
        <v>408</v>
      </c>
      <c r="D117" s="8" t="s">
        <v>409</v>
      </c>
      <c r="E117" s="8"/>
      <c r="F117" s="49">
        <f>F118</f>
        <v>1700</v>
      </c>
      <c r="G117" s="39"/>
      <c r="H117" s="39"/>
    </row>
    <row r="118" spans="1:8" ht="81" customHeight="1">
      <c r="A118" s="7" t="s">
        <v>208</v>
      </c>
      <c r="B118" s="8" t="s">
        <v>110</v>
      </c>
      <c r="C118" s="8" t="s">
        <v>408</v>
      </c>
      <c r="D118" s="8" t="s">
        <v>409</v>
      </c>
      <c r="E118" s="8" t="s">
        <v>171</v>
      </c>
      <c r="F118" s="49">
        <f>1700</f>
        <v>1700</v>
      </c>
      <c r="G118" s="39"/>
      <c r="H118" s="39"/>
    </row>
    <row r="119" spans="1:8" ht="20.25" customHeight="1">
      <c r="A119" s="17" t="s">
        <v>192</v>
      </c>
      <c r="B119" s="16" t="s">
        <v>123</v>
      </c>
      <c r="C119" s="16" t="s">
        <v>98</v>
      </c>
      <c r="D119" s="16" t="s">
        <v>99</v>
      </c>
      <c r="E119" s="16" t="s">
        <v>98</v>
      </c>
      <c r="F119" s="67">
        <f>F120+F138+F129</f>
        <v>387128.174</v>
      </c>
      <c r="G119" s="43">
        <f>G120+G138</f>
        <v>193081.7</v>
      </c>
      <c r="H119" s="43">
        <f>H120+H138</f>
        <v>156490.7</v>
      </c>
    </row>
    <row r="120" spans="1:8" ht="18" customHeight="1">
      <c r="A120" s="37" t="s">
        <v>193</v>
      </c>
      <c r="B120" s="38" t="s">
        <v>123</v>
      </c>
      <c r="C120" s="38" t="s">
        <v>104</v>
      </c>
      <c r="D120" s="38" t="s">
        <v>99</v>
      </c>
      <c r="E120" s="38" t="s">
        <v>98</v>
      </c>
      <c r="F120" s="49">
        <f>F121+F124</f>
        <v>189786.27000000002</v>
      </c>
      <c r="G120" s="49">
        <f>G121+G124</f>
        <v>133300</v>
      </c>
      <c r="H120" s="49">
        <f>H121+H124</f>
        <v>83364</v>
      </c>
    </row>
    <row r="121" spans="1:8" ht="28.5" customHeight="1">
      <c r="A121" s="7" t="s">
        <v>194</v>
      </c>
      <c r="B121" s="8" t="s">
        <v>123</v>
      </c>
      <c r="C121" s="8" t="s">
        <v>104</v>
      </c>
      <c r="D121" s="8" t="s">
        <v>669</v>
      </c>
      <c r="E121" s="8" t="s">
        <v>98</v>
      </c>
      <c r="F121" s="49">
        <f aca="true" t="shared" si="7" ref="F121:H122">F122</f>
        <v>17300</v>
      </c>
      <c r="G121" s="39">
        <f t="shared" si="7"/>
        <v>17300</v>
      </c>
      <c r="H121" s="39">
        <f t="shared" si="7"/>
        <v>17300</v>
      </c>
    </row>
    <row r="122" spans="1:8" ht="29.25" customHeight="1">
      <c r="A122" s="7" t="s">
        <v>195</v>
      </c>
      <c r="B122" s="8" t="s">
        <v>123</v>
      </c>
      <c r="C122" s="8" t="s">
        <v>104</v>
      </c>
      <c r="D122" s="8" t="s">
        <v>196</v>
      </c>
      <c r="E122" s="8" t="s">
        <v>98</v>
      </c>
      <c r="F122" s="49">
        <f t="shared" si="7"/>
        <v>17300</v>
      </c>
      <c r="G122" s="39">
        <f t="shared" si="7"/>
        <v>17300</v>
      </c>
      <c r="H122" s="39">
        <f t="shared" si="7"/>
        <v>17300</v>
      </c>
    </row>
    <row r="123" spans="1:8" ht="54.75" customHeight="1">
      <c r="A123" s="7" t="s">
        <v>197</v>
      </c>
      <c r="B123" s="8" t="s">
        <v>123</v>
      </c>
      <c r="C123" s="8" t="s">
        <v>104</v>
      </c>
      <c r="D123" s="8" t="s">
        <v>196</v>
      </c>
      <c r="E123" s="8" t="s">
        <v>198</v>
      </c>
      <c r="F123" s="49">
        <v>17300</v>
      </c>
      <c r="G123" s="39">
        <v>17300</v>
      </c>
      <c r="H123" s="39">
        <v>17300</v>
      </c>
    </row>
    <row r="124" spans="1:8" ht="28.5" customHeight="1">
      <c r="A124" s="18" t="s">
        <v>199</v>
      </c>
      <c r="B124" s="13" t="s">
        <v>123</v>
      </c>
      <c r="C124" s="13" t="s">
        <v>104</v>
      </c>
      <c r="D124" s="13" t="s">
        <v>670</v>
      </c>
      <c r="E124" s="13" t="s">
        <v>98</v>
      </c>
      <c r="F124" s="48">
        <f aca="true" t="shared" si="8" ref="F124:H125">F125</f>
        <v>172486.27000000002</v>
      </c>
      <c r="G124" s="48">
        <f t="shared" si="8"/>
        <v>116000</v>
      </c>
      <c r="H124" s="48">
        <f t="shared" si="8"/>
        <v>66064</v>
      </c>
    </row>
    <row r="125" spans="1:8" ht="42.75" customHeight="1">
      <c r="A125" s="7" t="s">
        <v>200</v>
      </c>
      <c r="B125" s="8" t="s">
        <v>123</v>
      </c>
      <c r="C125" s="8" t="s">
        <v>104</v>
      </c>
      <c r="D125" s="8" t="s">
        <v>201</v>
      </c>
      <c r="E125" s="8" t="s">
        <v>98</v>
      </c>
      <c r="F125" s="49">
        <f>F126+F128+F127</f>
        <v>172486.27000000002</v>
      </c>
      <c r="G125" s="39">
        <f t="shared" si="8"/>
        <v>116000</v>
      </c>
      <c r="H125" s="39">
        <f t="shared" si="8"/>
        <v>66064</v>
      </c>
    </row>
    <row r="126" spans="1:8" ht="43.5" customHeight="1">
      <c r="A126" s="7" t="s">
        <v>157</v>
      </c>
      <c r="B126" s="8" t="s">
        <v>123</v>
      </c>
      <c r="C126" s="8" t="s">
        <v>104</v>
      </c>
      <c r="D126" s="8" t="s">
        <v>201</v>
      </c>
      <c r="E126" s="8" t="s">
        <v>158</v>
      </c>
      <c r="F126" s="49">
        <f>85000+150.1-0.03</f>
        <v>85150.07</v>
      </c>
      <c r="G126" s="39">
        <v>116000</v>
      </c>
      <c r="H126" s="39">
        <v>66064</v>
      </c>
    </row>
    <row r="127" spans="1:8" ht="68.25" customHeight="1">
      <c r="A127" s="7" t="s">
        <v>202</v>
      </c>
      <c r="B127" s="8" t="s">
        <v>123</v>
      </c>
      <c r="C127" s="8" t="s">
        <v>104</v>
      </c>
      <c r="D127" s="8" t="s">
        <v>201</v>
      </c>
      <c r="E127" s="8" t="s">
        <v>209</v>
      </c>
      <c r="F127" s="49">
        <v>86720.7</v>
      </c>
      <c r="G127" s="39"/>
      <c r="H127" s="39"/>
    </row>
    <row r="128" spans="1:8" ht="39.75" customHeight="1">
      <c r="A128" s="7" t="s">
        <v>115</v>
      </c>
      <c r="B128" s="8" t="s">
        <v>123</v>
      </c>
      <c r="C128" s="8" t="s">
        <v>104</v>
      </c>
      <c r="D128" s="8" t="s">
        <v>201</v>
      </c>
      <c r="E128" s="8" t="s">
        <v>116</v>
      </c>
      <c r="F128" s="49">
        <v>615.5</v>
      </c>
      <c r="G128" s="39"/>
      <c r="H128" s="39"/>
    </row>
    <row r="129" spans="1:8" ht="18" customHeight="1">
      <c r="A129" s="79" t="s">
        <v>307</v>
      </c>
      <c r="B129" s="38" t="s">
        <v>123</v>
      </c>
      <c r="C129" s="38" t="s">
        <v>189</v>
      </c>
      <c r="D129" s="38"/>
      <c r="E129" s="38"/>
      <c r="F129" s="49">
        <f>F134+F130</f>
        <v>143355.954</v>
      </c>
      <c r="G129" s="49"/>
      <c r="H129" s="49"/>
    </row>
    <row r="130" spans="1:8" ht="45" customHeight="1">
      <c r="A130" s="7" t="s">
        <v>230</v>
      </c>
      <c r="B130" s="8" t="s">
        <v>123</v>
      </c>
      <c r="C130" s="8" t="s">
        <v>189</v>
      </c>
      <c r="D130" s="8" t="s">
        <v>332</v>
      </c>
      <c r="E130" s="8"/>
      <c r="F130" s="49">
        <f>F131+F132+F133</f>
        <v>23629.665</v>
      </c>
      <c r="G130" s="39"/>
      <c r="H130" s="39"/>
    </row>
    <row r="131" spans="1:8" ht="38.25" customHeight="1">
      <c r="A131" s="7" t="s">
        <v>115</v>
      </c>
      <c r="B131" s="8" t="s">
        <v>123</v>
      </c>
      <c r="C131" s="8" t="s">
        <v>189</v>
      </c>
      <c r="D131" s="8" t="s">
        <v>332</v>
      </c>
      <c r="E131" s="8" t="s">
        <v>116</v>
      </c>
      <c r="F131" s="49">
        <v>17878.4</v>
      </c>
      <c r="G131" s="39"/>
      <c r="H131" s="39"/>
    </row>
    <row r="132" spans="1:8" ht="79.5" customHeight="1">
      <c r="A132" s="7" t="s">
        <v>208</v>
      </c>
      <c r="B132" s="8" t="s">
        <v>123</v>
      </c>
      <c r="C132" s="8" t="s">
        <v>189</v>
      </c>
      <c r="D132" s="8" t="s">
        <v>332</v>
      </c>
      <c r="E132" s="8" t="s">
        <v>209</v>
      </c>
      <c r="F132" s="49">
        <v>5188.465</v>
      </c>
      <c r="G132" s="39"/>
      <c r="H132" s="39"/>
    </row>
    <row r="133" spans="1:8" ht="75.75" customHeight="1">
      <c r="A133" s="7" t="s">
        <v>303</v>
      </c>
      <c r="B133" s="8" t="s">
        <v>123</v>
      </c>
      <c r="C133" s="8" t="s">
        <v>189</v>
      </c>
      <c r="D133" s="8" t="s">
        <v>332</v>
      </c>
      <c r="E133" s="8" t="s">
        <v>302</v>
      </c>
      <c r="F133" s="49">
        <v>562.8</v>
      </c>
      <c r="G133" s="39"/>
      <c r="H133" s="39"/>
    </row>
    <row r="134" spans="1:8" ht="24" customHeight="1">
      <c r="A134" s="7" t="s">
        <v>311</v>
      </c>
      <c r="B134" s="8" t="s">
        <v>123</v>
      </c>
      <c r="C134" s="8" t="s">
        <v>189</v>
      </c>
      <c r="D134" s="8" t="s">
        <v>652</v>
      </c>
      <c r="E134" s="8"/>
      <c r="F134" s="49">
        <f>F136+F135+F137</f>
        <v>119726.289</v>
      </c>
      <c r="G134" s="39"/>
      <c r="H134" s="39"/>
    </row>
    <row r="135" spans="1:8" ht="45.75" customHeight="1">
      <c r="A135" s="7" t="s">
        <v>115</v>
      </c>
      <c r="B135" s="8" t="s">
        <v>123</v>
      </c>
      <c r="C135" s="8" t="s">
        <v>189</v>
      </c>
      <c r="D135" s="8" t="s">
        <v>652</v>
      </c>
      <c r="E135" s="8" t="s">
        <v>116</v>
      </c>
      <c r="F135" s="49">
        <v>19703</v>
      </c>
      <c r="G135" s="39"/>
      <c r="H135" s="39"/>
    </row>
    <row r="136" spans="1:8" ht="81" customHeight="1">
      <c r="A136" s="7" t="s">
        <v>208</v>
      </c>
      <c r="B136" s="8" t="s">
        <v>123</v>
      </c>
      <c r="C136" s="8" t="s">
        <v>189</v>
      </c>
      <c r="D136" s="8" t="s">
        <v>652</v>
      </c>
      <c r="E136" s="8" t="s">
        <v>209</v>
      </c>
      <c r="F136" s="49">
        <v>86040.8</v>
      </c>
      <c r="G136" s="39"/>
      <c r="H136" s="39"/>
    </row>
    <row r="137" spans="1:8" ht="80.25" customHeight="1">
      <c r="A137" s="7" t="s">
        <v>306</v>
      </c>
      <c r="B137" s="8" t="s">
        <v>123</v>
      </c>
      <c r="C137" s="8" t="s">
        <v>189</v>
      </c>
      <c r="D137" s="8" t="s">
        <v>652</v>
      </c>
      <c r="E137" s="8" t="s">
        <v>302</v>
      </c>
      <c r="F137" s="49">
        <v>13982.489</v>
      </c>
      <c r="G137" s="39"/>
      <c r="H137" s="39"/>
    </row>
    <row r="138" spans="1:8" ht="34.5" customHeight="1">
      <c r="A138" s="7" t="s">
        <v>204</v>
      </c>
      <c r="B138" s="8" t="s">
        <v>123</v>
      </c>
      <c r="C138" s="8" t="s">
        <v>205</v>
      </c>
      <c r="D138" s="8" t="s">
        <v>99</v>
      </c>
      <c r="E138" s="8" t="s">
        <v>98</v>
      </c>
      <c r="F138" s="48">
        <f>F139+F141+F158+F157+F154</f>
        <v>53985.950000000004</v>
      </c>
      <c r="G138" s="39">
        <f>G139+G141+G158</f>
        <v>59781.7</v>
      </c>
      <c r="H138" s="39">
        <f>H139+H141+H158</f>
        <v>73126.7</v>
      </c>
    </row>
    <row r="139" spans="1:8" ht="33" customHeight="1">
      <c r="A139" s="7" t="s">
        <v>206</v>
      </c>
      <c r="B139" s="8" t="s">
        <v>123</v>
      </c>
      <c r="C139" s="8" t="s">
        <v>205</v>
      </c>
      <c r="D139" s="8" t="s">
        <v>207</v>
      </c>
      <c r="E139" s="8" t="s">
        <v>98</v>
      </c>
      <c r="F139" s="48">
        <f>F140</f>
        <v>0</v>
      </c>
      <c r="G139" s="39">
        <f>G140</f>
        <v>2598</v>
      </c>
      <c r="H139" s="39">
        <f>H140</f>
        <v>2598</v>
      </c>
    </row>
    <row r="140" spans="1:8" ht="84.75" customHeight="1">
      <c r="A140" s="7" t="s">
        <v>208</v>
      </c>
      <c r="B140" s="8" t="s">
        <v>123</v>
      </c>
      <c r="C140" s="8" t="s">
        <v>205</v>
      </c>
      <c r="D140" s="8" t="s">
        <v>207</v>
      </c>
      <c r="E140" s="8" t="s">
        <v>209</v>
      </c>
      <c r="F140" s="48">
        <f>2339.8-2339.8</f>
        <v>0</v>
      </c>
      <c r="G140" s="39">
        <v>2598</v>
      </c>
      <c r="H140" s="39">
        <v>2598</v>
      </c>
    </row>
    <row r="141" spans="1:8" ht="33" customHeight="1">
      <c r="A141" s="7" t="s">
        <v>216</v>
      </c>
      <c r="B141" s="8" t="s">
        <v>123</v>
      </c>
      <c r="C141" s="8" t="s">
        <v>205</v>
      </c>
      <c r="D141" s="8" t="s">
        <v>671</v>
      </c>
      <c r="E141" s="8" t="s">
        <v>98</v>
      </c>
      <c r="F141" s="48">
        <f>F142+F144+F146</f>
        <v>40334.25</v>
      </c>
      <c r="G141" s="39">
        <f>G142+G144+G146</f>
        <v>47433.7</v>
      </c>
      <c r="H141" s="39">
        <f>H142+H144+H146</f>
        <v>60428.7</v>
      </c>
    </row>
    <row r="142" spans="1:8" ht="30" customHeight="1">
      <c r="A142" s="7" t="s">
        <v>217</v>
      </c>
      <c r="B142" s="8" t="s">
        <v>123</v>
      </c>
      <c r="C142" s="8" t="s">
        <v>205</v>
      </c>
      <c r="D142" s="8" t="s">
        <v>219</v>
      </c>
      <c r="E142" s="8" t="s">
        <v>98</v>
      </c>
      <c r="F142" s="48">
        <f>F143</f>
        <v>1610.6</v>
      </c>
      <c r="G142" s="39">
        <f>G143</f>
        <v>7848</v>
      </c>
      <c r="H142" s="39">
        <f>H143</f>
        <v>7843</v>
      </c>
    </row>
    <row r="143" spans="1:8" ht="38.25">
      <c r="A143" s="7" t="s">
        <v>115</v>
      </c>
      <c r="B143" s="8" t="s">
        <v>123</v>
      </c>
      <c r="C143" s="8" t="s">
        <v>205</v>
      </c>
      <c r="D143" s="8" t="s">
        <v>219</v>
      </c>
      <c r="E143" s="8" t="s">
        <v>116</v>
      </c>
      <c r="F143" s="48">
        <f>6770.2-2200-696-230-2033.6</f>
        <v>1610.6</v>
      </c>
      <c r="G143" s="39">
        <v>7848</v>
      </c>
      <c r="H143" s="39">
        <v>7843</v>
      </c>
    </row>
    <row r="144" spans="1:8" ht="25.5">
      <c r="A144" s="7" t="s">
        <v>220</v>
      </c>
      <c r="B144" s="8" t="s">
        <v>123</v>
      </c>
      <c r="C144" s="8" t="s">
        <v>205</v>
      </c>
      <c r="D144" s="8" t="s">
        <v>221</v>
      </c>
      <c r="E144" s="8" t="s">
        <v>98</v>
      </c>
      <c r="F144" s="48">
        <f>F145</f>
        <v>35</v>
      </c>
      <c r="G144" s="39">
        <f>G145</f>
        <v>35</v>
      </c>
      <c r="H144" s="39">
        <f>H145</f>
        <v>35</v>
      </c>
    </row>
    <row r="145" spans="1:8" ht="25.5">
      <c r="A145" s="7" t="s">
        <v>130</v>
      </c>
      <c r="B145" s="8" t="s">
        <v>123</v>
      </c>
      <c r="C145" s="8" t="s">
        <v>205</v>
      </c>
      <c r="D145" s="8" t="s">
        <v>221</v>
      </c>
      <c r="E145" s="8" t="s">
        <v>131</v>
      </c>
      <c r="F145" s="48">
        <v>35</v>
      </c>
      <c r="G145" s="39">
        <v>35</v>
      </c>
      <c r="H145" s="39">
        <v>35</v>
      </c>
    </row>
    <row r="146" spans="1:8" ht="30" customHeight="1">
      <c r="A146" s="7" t="s">
        <v>175</v>
      </c>
      <c r="B146" s="8" t="s">
        <v>123</v>
      </c>
      <c r="C146" s="8" t="s">
        <v>205</v>
      </c>
      <c r="D146" s="8" t="s">
        <v>222</v>
      </c>
      <c r="E146" s="8" t="s">
        <v>98</v>
      </c>
      <c r="F146" s="48">
        <f>F147+F148+F150+F151+F153+F149+F152</f>
        <v>38688.65</v>
      </c>
      <c r="G146" s="39">
        <f>G147+G148+G150+G151</f>
        <v>39550.7</v>
      </c>
      <c r="H146" s="39">
        <f>H147+H148+H150+H151</f>
        <v>52550.7</v>
      </c>
    </row>
    <row r="147" spans="1:8" ht="19.5" customHeight="1">
      <c r="A147" s="7" t="s">
        <v>107</v>
      </c>
      <c r="B147" s="8" t="s">
        <v>123</v>
      </c>
      <c r="C147" s="8" t="s">
        <v>205</v>
      </c>
      <c r="D147" s="8" t="s">
        <v>222</v>
      </c>
      <c r="E147" s="8" t="s">
        <v>178</v>
      </c>
      <c r="F147" s="48">
        <f>18680+280+289.8</f>
        <v>19249.8</v>
      </c>
      <c r="G147" s="39">
        <v>18680</v>
      </c>
      <c r="H147" s="39">
        <v>18680</v>
      </c>
    </row>
    <row r="148" spans="1:8" ht="48.75" customHeight="1">
      <c r="A148" s="7" t="s">
        <v>119</v>
      </c>
      <c r="B148" s="8" t="s">
        <v>123</v>
      </c>
      <c r="C148" s="8" t="s">
        <v>205</v>
      </c>
      <c r="D148" s="8" t="s">
        <v>222</v>
      </c>
      <c r="E148" s="13" t="s">
        <v>120</v>
      </c>
      <c r="F148" s="48">
        <f>1866.5-315</f>
        <v>1551.5</v>
      </c>
      <c r="G148" s="39">
        <v>1542.42</v>
      </c>
      <c r="H148" s="39">
        <v>1542.42</v>
      </c>
    </row>
    <row r="149" spans="1:8" ht="52.5" customHeight="1">
      <c r="A149" s="7" t="s">
        <v>545</v>
      </c>
      <c r="B149" s="8" t="s">
        <v>123</v>
      </c>
      <c r="C149" s="8" t="s">
        <v>205</v>
      </c>
      <c r="D149" s="8" t="s">
        <v>222</v>
      </c>
      <c r="E149" s="13" t="s">
        <v>83</v>
      </c>
      <c r="F149" s="48">
        <v>57.1</v>
      </c>
      <c r="G149" s="39"/>
      <c r="H149" s="39"/>
    </row>
    <row r="150" spans="1:8" ht="40.5" customHeight="1">
      <c r="A150" s="7" t="s">
        <v>115</v>
      </c>
      <c r="B150" s="8" t="s">
        <v>123</v>
      </c>
      <c r="C150" s="8" t="s">
        <v>205</v>
      </c>
      <c r="D150" s="8" t="s">
        <v>222</v>
      </c>
      <c r="E150" s="8" t="s">
        <v>116</v>
      </c>
      <c r="F150" s="48">
        <f>7931+2000+100-928.8</f>
        <v>9102.2</v>
      </c>
      <c r="G150" s="39">
        <v>15895.28</v>
      </c>
      <c r="H150" s="39">
        <v>28895.28</v>
      </c>
    </row>
    <row r="151" spans="1:8" ht="84" customHeight="1">
      <c r="A151" s="7" t="s">
        <v>208</v>
      </c>
      <c r="B151" s="8" t="s">
        <v>123</v>
      </c>
      <c r="C151" s="8" t="s">
        <v>205</v>
      </c>
      <c r="D151" s="8" t="s">
        <v>222</v>
      </c>
      <c r="E151" s="8" t="s">
        <v>209</v>
      </c>
      <c r="F151" s="48">
        <f>3691.15+2500+636.9</f>
        <v>6828.049999999999</v>
      </c>
      <c r="G151" s="39">
        <v>3433</v>
      </c>
      <c r="H151" s="39">
        <v>3433</v>
      </c>
    </row>
    <row r="152" spans="1:8" ht="28.5" customHeight="1">
      <c r="A152" s="33" t="s">
        <v>170</v>
      </c>
      <c r="B152" s="41" t="s">
        <v>123</v>
      </c>
      <c r="C152" s="41" t="s">
        <v>205</v>
      </c>
      <c r="D152" s="41" t="s">
        <v>540</v>
      </c>
      <c r="E152" s="41" t="s">
        <v>171</v>
      </c>
      <c r="F152" s="74">
        <f>1550-1550</f>
        <v>0</v>
      </c>
      <c r="G152" s="39"/>
      <c r="H152" s="39"/>
    </row>
    <row r="153" spans="1:8" ht="25.5" customHeight="1">
      <c r="A153" s="7" t="s">
        <v>132</v>
      </c>
      <c r="B153" s="8" t="s">
        <v>123</v>
      </c>
      <c r="C153" s="8" t="s">
        <v>205</v>
      </c>
      <c r="D153" s="8" t="s">
        <v>540</v>
      </c>
      <c r="E153" s="8" t="s">
        <v>133</v>
      </c>
      <c r="F153" s="48">
        <f>1570+200+100+30</f>
        <v>1900</v>
      </c>
      <c r="G153" s="39"/>
      <c r="H153" s="39"/>
    </row>
    <row r="154" spans="1:8" ht="42" customHeight="1">
      <c r="A154" s="37" t="s">
        <v>264</v>
      </c>
      <c r="B154" s="38" t="s">
        <v>123</v>
      </c>
      <c r="C154" s="38" t="s">
        <v>205</v>
      </c>
      <c r="D154" s="38" t="s">
        <v>265</v>
      </c>
      <c r="E154" s="38"/>
      <c r="F154" s="48">
        <f>F155</f>
        <v>7855.4</v>
      </c>
      <c r="G154" s="49"/>
      <c r="H154" s="49"/>
    </row>
    <row r="155" spans="1:8" ht="57.75" customHeight="1">
      <c r="A155" s="37" t="s">
        <v>197</v>
      </c>
      <c r="B155" s="38" t="s">
        <v>123</v>
      </c>
      <c r="C155" s="38" t="s">
        <v>205</v>
      </c>
      <c r="D155" s="38" t="s">
        <v>265</v>
      </c>
      <c r="E155" s="38" t="s">
        <v>198</v>
      </c>
      <c r="F155" s="48">
        <v>7855.4</v>
      </c>
      <c r="G155" s="49"/>
      <c r="H155" s="49"/>
    </row>
    <row r="156" spans="1:8" ht="45" customHeight="1">
      <c r="A156" s="37" t="s">
        <v>649</v>
      </c>
      <c r="B156" s="38" t="s">
        <v>123</v>
      </c>
      <c r="C156" s="38" t="s">
        <v>205</v>
      </c>
      <c r="D156" s="38" t="s">
        <v>650</v>
      </c>
      <c r="E156" s="38"/>
      <c r="F156" s="48">
        <f>F157</f>
        <v>2760</v>
      </c>
      <c r="G156" s="49"/>
      <c r="H156" s="49"/>
    </row>
    <row r="157" spans="1:8" ht="65.25" customHeight="1">
      <c r="A157" s="37" t="s">
        <v>197</v>
      </c>
      <c r="B157" s="38" t="s">
        <v>123</v>
      </c>
      <c r="C157" s="38" t="s">
        <v>205</v>
      </c>
      <c r="D157" s="38" t="s">
        <v>650</v>
      </c>
      <c r="E157" s="38" t="s">
        <v>198</v>
      </c>
      <c r="F157" s="49">
        <v>2760</v>
      </c>
      <c r="G157" s="49"/>
      <c r="H157" s="39"/>
    </row>
    <row r="158" spans="1:8" ht="21" customHeight="1">
      <c r="A158" s="37" t="s">
        <v>673</v>
      </c>
      <c r="B158" s="38" t="s">
        <v>123</v>
      </c>
      <c r="C158" s="38" t="s">
        <v>205</v>
      </c>
      <c r="D158" s="38" t="s">
        <v>672</v>
      </c>
      <c r="E158" s="38" t="s">
        <v>98</v>
      </c>
      <c r="F158" s="49">
        <f>F159+F161</f>
        <v>3036.3</v>
      </c>
      <c r="G158" s="49">
        <f>G159+G161</f>
        <v>9750</v>
      </c>
      <c r="H158" s="39">
        <f>H159+H161</f>
        <v>10100</v>
      </c>
    </row>
    <row r="159" spans="1:8" ht="47.25" customHeight="1">
      <c r="A159" s="37" t="s">
        <v>223</v>
      </c>
      <c r="B159" s="38" t="s">
        <v>123</v>
      </c>
      <c r="C159" s="38" t="s">
        <v>205</v>
      </c>
      <c r="D159" s="38" t="s">
        <v>224</v>
      </c>
      <c r="E159" s="38" t="s">
        <v>98</v>
      </c>
      <c r="F159" s="49">
        <f>F160</f>
        <v>3020</v>
      </c>
      <c r="G159" s="49">
        <f>G160</f>
        <v>2850</v>
      </c>
      <c r="H159" s="49">
        <f>H160</f>
        <v>3150</v>
      </c>
    </row>
    <row r="160" spans="1:8" ht="51">
      <c r="A160" s="7" t="s">
        <v>197</v>
      </c>
      <c r="B160" s="8" t="s">
        <v>123</v>
      </c>
      <c r="C160" s="8" t="s">
        <v>205</v>
      </c>
      <c r="D160" s="8" t="s">
        <v>224</v>
      </c>
      <c r="E160" s="8" t="s">
        <v>198</v>
      </c>
      <c r="F160" s="49">
        <f>2350+400+270</f>
        <v>3020</v>
      </c>
      <c r="G160" s="39">
        <v>2850</v>
      </c>
      <c r="H160" s="39">
        <v>3150</v>
      </c>
    </row>
    <row r="161" spans="1:8" ht="33" customHeight="1">
      <c r="A161" s="7" t="s">
        <v>180</v>
      </c>
      <c r="B161" s="8" t="s">
        <v>123</v>
      </c>
      <c r="C161" s="8" t="s">
        <v>205</v>
      </c>
      <c r="D161" s="8" t="s">
        <v>570</v>
      </c>
      <c r="E161" s="8" t="s">
        <v>98</v>
      </c>
      <c r="F161" s="49">
        <f>F162</f>
        <v>16.299999999999997</v>
      </c>
      <c r="G161" s="39">
        <f>G162</f>
        <v>6900</v>
      </c>
      <c r="H161" s="39">
        <f>H162</f>
        <v>6950</v>
      </c>
    </row>
    <row r="162" spans="1:8" ht="42" customHeight="1">
      <c r="A162" s="7" t="s">
        <v>115</v>
      </c>
      <c r="B162" s="8" t="s">
        <v>123</v>
      </c>
      <c r="C162" s="8" t="s">
        <v>205</v>
      </c>
      <c r="D162" s="8" t="s">
        <v>570</v>
      </c>
      <c r="E162" s="8" t="s">
        <v>116</v>
      </c>
      <c r="F162" s="49">
        <f>7070-6370-600-83.7</f>
        <v>16.299999999999997</v>
      </c>
      <c r="G162" s="39">
        <v>6900</v>
      </c>
      <c r="H162" s="39">
        <v>6950</v>
      </c>
    </row>
    <row r="163" spans="1:8" ht="21" customHeight="1">
      <c r="A163" s="17" t="s">
        <v>226</v>
      </c>
      <c r="B163" s="16" t="s">
        <v>135</v>
      </c>
      <c r="C163" s="16" t="s">
        <v>98</v>
      </c>
      <c r="D163" s="16" t="s">
        <v>99</v>
      </c>
      <c r="E163" s="16" t="s">
        <v>98</v>
      </c>
      <c r="F163" s="67">
        <f>F164+F212+F263+F301</f>
        <v>769837.72053</v>
      </c>
      <c r="G163" s="43">
        <f>G164+G212+G263+G301</f>
        <v>678237</v>
      </c>
      <c r="H163" s="43">
        <f>H164+H212+H263+H301</f>
        <v>711600</v>
      </c>
    </row>
    <row r="164" spans="1:8" ht="15.75" customHeight="1">
      <c r="A164" s="7" t="s">
        <v>227</v>
      </c>
      <c r="B164" s="8" t="s">
        <v>135</v>
      </c>
      <c r="C164" s="8" t="s">
        <v>102</v>
      </c>
      <c r="D164" s="8" t="s">
        <v>99</v>
      </c>
      <c r="E164" s="8" t="s">
        <v>98</v>
      </c>
      <c r="F164" s="49">
        <f>F176+F182+F198+F185+F196+F165+F180</f>
        <v>180503.38353</v>
      </c>
      <c r="G164" s="39">
        <f>G176+G182+G198+G185</f>
        <v>66027.7</v>
      </c>
      <c r="H164" s="39">
        <f>H176+H182+H198+H185</f>
        <v>66027.7</v>
      </c>
    </row>
    <row r="165" spans="1:8" ht="64.5" customHeight="1">
      <c r="A165" s="34" t="s">
        <v>573</v>
      </c>
      <c r="B165" s="36" t="s">
        <v>135</v>
      </c>
      <c r="C165" s="36" t="s">
        <v>102</v>
      </c>
      <c r="D165" s="36" t="s">
        <v>574</v>
      </c>
      <c r="E165" s="8"/>
      <c r="F165" s="49">
        <f>F166+F171</f>
        <v>74060.46553</v>
      </c>
      <c r="G165" s="39"/>
      <c r="H165" s="39"/>
    </row>
    <row r="166" spans="1:8" ht="67.5" customHeight="1">
      <c r="A166" s="34" t="s">
        <v>284</v>
      </c>
      <c r="B166" s="36" t="s">
        <v>135</v>
      </c>
      <c r="C166" s="36" t="s">
        <v>102</v>
      </c>
      <c r="D166" s="36" t="s">
        <v>575</v>
      </c>
      <c r="E166" s="8"/>
      <c r="F166" s="49">
        <f>F167+F169</f>
        <v>48479.97773</v>
      </c>
      <c r="G166" s="39"/>
      <c r="H166" s="39"/>
    </row>
    <row r="167" spans="1:8" ht="42.75" customHeight="1">
      <c r="A167" s="34" t="s">
        <v>389</v>
      </c>
      <c r="B167" s="36" t="s">
        <v>135</v>
      </c>
      <c r="C167" s="36" t="s">
        <v>102</v>
      </c>
      <c r="D167" s="36" t="s">
        <v>577</v>
      </c>
      <c r="E167" s="8"/>
      <c r="F167" s="49">
        <f>F168</f>
        <v>37611.538</v>
      </c>
      <c r="G167" s="39"/>
      <c r="H167" s="39"/>
    </row>
    <row r="168" spans="1:8" ht="19.5" customHeight="1">
      <c r="A168" s="35" t="s">
        <v>578</v>
      </c>
      <c r="B168" s="36" t="s">
        <v>135</v>
      </c>
      <c r="C168" s="36" t="s">
        <v>102</v>
      </c>
      <c r="D168" s="36" t="s">
        <v>577</v>
      </c>
      <c r="E168" s="8" t="s">
        <v>198</v>
      </c>
      <c r="F168" s="49">
        <v>37611.538</v>
      </c>
      <c r="G168" s="39"/>
      <c r="H168" s="39"/>
    </row>
    <row r="169" spans="1:8" ht="36.75" customHeight="1">
      <c r="A169" s="34" t="s">
        <v>390</v>
      </c>
      <c r="B169" s="36" t="s">
        <v>135</v>
      </c>
      <c r="C169" s="36" t="s">
        <v>102</v>
      </c>
      <c r="D169" s="36" t="s">
        <v>576</v>
      </c>
      <c r="E169" s="8"/>
      <c r="F169" s="49">
        <f>F170</f>
        <v>10868.43973</v>
      </c>
      <c r="G169" s="39"/>
      <c r="H169" s="39"/>
    </row>
    <row r="170" spans="1:8" ht="73.5" customHeight="1">
      <c r="A170" s="35" t="s">
        <v>583</v>
      </c>
      <c r="B170" s="36" t="s">
        <v>135</v>
      </c>
      <c r="C170" s="36" t="s">
        <v>102</v>
      </c>
      <c r="D170" s="36" t="s">
        <v>576</v>
      </c>
      <c r="E170" s="8" t="s">
        <v>203</v>
      </c>
      <c r="F170" s="49">
        <v>10868.43973</v>
      </c>
      <c r="G170" s="39"/>
      <c r="H170" s="39"/>
    </row>
    <row r="171" spans="1:8" ht="69" customHeight="1">
      <c r="A171" s="34" t="s">
        <v>285</v>
      </c>
      <c r="B171" s="36" t="s">
        <v>135</v>
      </c>
      <c r="C171" s="36" t="s">
        <v>102</v>
      </c>
      <c r="D171" s="36" t="s">
        <v>579</v>
      </c>
      <c r="E171" s="8"/>
      <c r="F171" s="49">
        <f>F172+F174</f>
        <v>25580.487800000003</v>
      </c>
      <c r="G171" s="39"/>
      <c r="H171" s="39"/>
    </row>
    <row r="172" spans="1:8" ht="42.75" customHeight="1">
      <c r="A172" s="34" t="s">
        <v>391</v>
      </c>
      <c r="B172" s="36" t="s">
        <v>135</v>
      </c>
      <c r="C172" s="36" t="s">
        <v>102</v>
      </c>
      <c r="D172" s="36" t="s">
        <v>581</v>
      </c>
      <c r="E172" s="8"/>
      <c r="F172" s="49">
        <f>F173</f>
        <v>19845.722</v>
      </c>
      <c r="G172" s="39"/>
      <c r="H172" s="39"/>
    </row>
    <row r="173" spans="1:8" ht="18.75" customHeight="1">
      <c r="A173" s="34" t="s">
        <v>582</v>
      </c>
      <c r="B173" s="36" t="s">
        <v>135</v>
      </c>
      <c r="C173" s="36" t="s">
        <v>102</v>
      </c>
      <c r="D173" s="36" t="s">
        <v>581</v>
      </c>
      <c r="E173" s="8" t="s">
        <v>198</v>
      </c>
      <c r="F173" s="49">
        <f>13892.022+1786+4167.7</f>
        <v>19845.722</v>
      </c>
      <c r="G173" s="39"/>
      <c r="H173" s="39"/>
    </row>
    <row r="174" spans="1:8" ht="43.5" customHeight="1">
      <c r="A174" s="34" t="s">
        <v>392</v>
      </c>
      <c r="B174" s="36" t="s">
        <v>135</v>
      </c>
      <c r="C174" s="36" t="s">
        <v>102</v>
      </c>
      <c r="D174" s="36" t="s">
        <v>580</v>
      </c>
      <c r="E174" s="8"/>
      <c r="F174" s="49">
        <f>F175</f>
        <v>5734.7658</v>
      </c>
      <c r="G174" s="39"/>
      <c r="H174" s="39"/>
    </row>
    <row r="175" spans="1:8" ht="66" customHeight="1">
      <c r="A175" s="7" t="s">
        <v>583</v>
      </c>
      <c r="B175" s="36" t="s">
        <v>135</v>
      </c>
      <c r="C175" s="36" t="s">
        <v>102</v>
      </c>
      <c r="D175" s="36" t="s">
        <v>580</v>
      </c>
      <c r="E175" s="8" t="s">
        <v>203</v>
      </c>
      <c r="F175" s="49">
        <f>4001.3658+1733.4</f>
        <v>5734.7658</v>
      </c>
      <c r="G175" s="39"/>
      <c r="H175" s="39"/>
    </row>
    <row r="176" spans="1:8" ht="28.5" customHeight="1">
      <c r="A176" s="7" t="s">
        <v>299</v>
      </c>
      <c r="B176" s="8" t="s">
        <v>135</v>
      </c>
      <c r="C176" s="8" t="s">
        <v>102</v>
      </c>
      <c r="D176" s="8" t="s">
        <v>298</v>
      </c>
      <c r="E176" s="8" t="s">
        <v>98</v>
      </c>
      <c r="F176" s="49">
        <f>F177+F178+F179</f>
        <v>2844.3</v>
      </c>
      <c r="G176" s="39">
        <f>G177</f>
        <v>20000</v>
      </c>
      <c r="H176" s="39">
        <f>H177</f>
        <v>20000</v>
      </c>
    </row>
    <row r="177" spans="1:8" ht="81" customHeight="1">
      <c r="A177" s="7" t="s">
        <v>208</v>
      </c>
      <c r="B177" s="8" t="s">
        <v>135</v>
      </c>
      <c r="C177" s="8" t="s">
        <v>102</v>
      </c>
      <c r="D177" s="8" t="s">
        <v>298</v>
      </c>
      <c r="E177" s="8" t="s">
        <v>209</v>
      </c>
      <c r="F177" s="49">
        <v>2224.8</v>
      </c>
      <c r="G177" s="39">
        <v>20000</v>
      </c>
      <c r="H177" s="39">
        <v>20000</v>
      </c>
    </row>
    <row r="178" spans="1:8" ht="81" customHeight="1">
      <c r="A178" s="7" t="s">
        <v>306</v>
      </c>
      <c r="B178" s="8" t="s">
        <v>135</v>
      </c>
      <c r="C178" s="8" t="s">
        <v>102</v>
      </c>
      <c r="D178" s="8" t="s">
        <v>266</v>
      </c>
      <c r="E178" s="8" t="s">
        <v>302</v>
      </c>
      <c r="F178" s="49">
        <v>445.9</v>
      </c>
      <c r="G178" s="39"/>
      <c r="H178" s="39"/>
    </row>
    <row r="179" spans="1:8" ht="52.5" customHeight="1">
      <c r="A179" s="7" t="s">
        <v>267</v>
      </c>
      <c r="B179" s="8" t="s">
        <v>135</v>
      </c>
      <c r="C179" s="8" t="s">
        <v>102</v>
      </c>
      <c r="D179" s="8" t="s">
        <v>266</v>
      </c>
      <c r="E179" s="8" t="s">
        <v>198</v>
      </c>
      <c r="F179" s="49">
        <v>173.6</v>
      </c>
      <c r="G179" s="39"/>
      <c r="H179" s="39"/>
    </row>
    <row r="180" spans="1:8" ht="29.25" customHeight="1">
      <c r="A180" s="7" t="s">
        <v>300</v>
      </c>
      <c r="B180" s="8" t="s">
        <v>135</v>
      </c>
      <c r="C180" s="8" t="s">
        <v>102</v>
      </c>
      <c r="D180" s="8" t="s">
        <v>301</v>
      </c>
      <c r="E180" s="8"/>
      <c r="F180" s="49">
        <f>F181</f>
        <v>148.3</v>
      </c>
      <c r="G180" s="39"/>
      <c r="H180" s="39"/>
    </row>
    <row r="181" spans="1:8" ht="56.25" customHeight="1">
      <c r="A181" s="7" t="s">
        <v>208</v>
      </c>
      <c r="B181" s="8" t="s">
        <v>135</v>
      </c>
      <c r="C181" s="8" t="s">
        <v>102</v>
      </c>
      <c r="D181" s="8" t="s">
        <v>301</v>
      </c>
      <c r="E181" s="8" t="s">
        <v>209</v>
      </c>
      <c r="F181" s="49">
        <v>148.3</v>
      </c>
      <c r="G181" s="39"/>
      <c r="H181" s="39"/>
    </row>
    <row r="182" spans="1:8" ht="30" customHeight="1">
      <c r="A182" s="7" t="s">
        <v>199</v>
      </c>
      <c r="B182" s="8" t="s">
        <v>135</v>
      </c>
      <c r="C182" s="8" t="s">
        <v>102</v>
      </c>
      <c r="D182" s="8" t="s">
        <v>674</v>
      </c>
      <c r="E182" s="8" t="s">
        <v>98</v>
      </c>
      <c r="F182" s="49">
        <f>F183</f>
        <v>0</v>
      </c>
      <c r="G182" s="39">
        <f aca="true" t="shared" si="9" ref="F182:H183">G183</f>
        <v>0</v>
      </c>
      <c r="H182" s="39">
        <f t="shared" si="9"/>
        <v>0</v>
      </c>
    </row>
    <row r="183" spans="1:8" ht="41.25" customHeight="1">
      <c r="A183" s="7" t="s">
        <v>230</v>
      </c>
      <c r="B183" s="8" t="s">
        <v>135</v>
      </c>
      <c r="C183" s="8" t="s">
        <v>102</v>
      </c>
      <c r="D183" s="8" t="s">
        <v>231</v>
      </c>
      <c r="E183" s="8" t="s">
        <v>98</v>
      </c>
      <c r="F183" s="49">
        <f t="shared" si="9"/>
        <v>0</v>
      </c>
      <c r="G183" s="39">
        <f t="shared" si="9"/>
        <v>0</v>
      </c>
      <c r="H183" s="39">
        <f t="shared" si="9"/>
        <v>0</v>
      </c>
    </row>
    <row r="184" spans="1:8" ht="70.5" customHeight="1">
      <c r="A184" s="7" t="s">
        <v>202</v>
      </c>
      <c r="B184" s="8" t="s">
        <v>135</v>
      </c>
      <c r="C184" s="8" t="s">
        <v>102</v>
      </c>
      <c r="D184" s="8" t="s">
        <v>231</v>
      </c>
      <c r="E184" s="8" t="s">
        <v>203</v>
      </c>
      <c r="F184" s="49">
        <v>0</v>
      </c>
      <c r="G184" s="39">
        <v>0</v>
      </c>
      <c r="H184" s="39">
        <v>0</v>
      </c>
    </row>
    <row r="185" spans="1:8" ht="16.5" customHeight="1">
      <c r="A185" s="7" t="s">
        <v>232</v>
      </c>
      <c r="B185" s="8" t="s">
        <v>135</v>
      </c>
      <c r="C185" s="8" t="s">
        <v>102</v>
      </c>
      <c r="D185" s="8" t="s">
        <v>675</v>
      </c>
      <c r="E185" s="8" t="s">
        <v>98</v>
      </c>
      <c r="F185" s="49">
        <f>F193+F186+F189+F191</f>
        <v>32109.41</v>
      </c>
      <c r="G185" s="39">
        <f>G193</f>
        <v>0</v>
      </c>
      <c r="H185" s="39">
        <f>H193</f>
        <v>0</v>
      </c>
    </row>
    <row r="186" spans="1:8" ht="57" customHeight="1">
      <c r="A186" s="7" t="s">
        <v>295</v>
      </c>
      <c r="B186" s="8" t="s">
        <v>135</v>
      </c>
      <c r="C186" s="8" t="s">
        <v>102</v>
      </c>
      <c r="D186" s="8" t="s">
        <v>296</v>
      </c>
      <c r="E186" s="8"/>
      <c r="F186" s="49">
        <f>F188+F187</f>
        <v>8034.9</v>
      </c>
      <c r="G186" s="39"/>
      <c r="H186" s="39"/>
    </row>
    <row r="187" spans="1:8" ht="57" customHeight="1">
      <c r="A187" s="7" t="s">
        <v>407</v>
      </c>
      <c r="B187" s="8" t="s">
        <v>135</v>
      </c>
      <c r="C187" s="8" t="s">
        <v>102</v>
      </c>
      <c r="D187" s="8" t="s">
        <v>276</v>
      </c>
      <c r="E187" s="8" t="s">
        <v>405</v>
      </c>
      <c r="F187" s="49">
        <v>4844.7</v>
      </c>
      <c r="G187" s="39"/>
      <c r="H187" s="39"/>
    </row>
    <row r="188" spans="1:8" ht="29.25" customHeight="1">
      <c r="A188" s="7" t="s">
        <v>557</v>
      </c>
      <c r="B188" s="8" t="s">
        <v>135</v>
      </c>
      <c r="C188" s="8" t="s">
        <v>102</v>
      </c>
      <c r="D188" s="8" t="s">
        <v>296</v>
      </c>
      <c r="E188" s="8" t="s">
        <v>558</v>
      </c>
      <c r="F188" s="49">
        <v>3190.2</v>
      </c>
      <c r="G188" s="39"/>
      <c r="H188" s="39"/>
    </row>
    <row r="189" spans="1:8" ht="29.25" customHeight="1">
      <c r="A189" s="7" t="s">
        <v>404</v>
      </c>
      <c r="B189" s="8" t="s">
        <v>135</v>
      </c>
      <c r="C189" s="8" t="s">
        <v>102</v>
      </c>
      <c r="D189" s="8" t="s">
        <v>406</v>
      </c>
      <c r="E189" s="8"/>
      <c r="F189" s="49">
        <f>F190</f>
        <v>8096.71</v>
      </c>
      <c r="G189" s="39"/>
      <c r="H189" s="39"/>
    </row>
    <row r="190" spans="1:8" ht="57" customHeight="1">
      <c r="A190" s="7" t="s">
        <v>407</v>
      </c>
      <c r="B190" s="8" t="s">
        <v>135</v>
      </c>
      <c r="C190" s="8" t="s">
        <v>102</v>
      </c>
      <c r="D190" s="8" t="s">
        <v>406</v>
      </c>
      <c r="E190" s="8" t="s">
        <v>405</v>
      </c>
      <c r="F190" s="49">
        <f>8054.46+42.25</f>
        <v>8096.71</v>
      </c>
      <c r="G190" s="39"/>
      <c r="H190" s="39"/>
    </row>
    <row r="191" spans="1:8" ht="45.75" customHeight="1">
      <c r="A191" s="7" t="s">
        <v>324</v>
      </c>
      <c r="B191" s="8" t="s">
        <v>135</v>
      </c>
      <c r="C191" s="8" t="s">
        <v>102</v>
      </c>
      <c r="D191" s="8" t="s">
        <v>325</v>
      </c>
      <c r="E191" s="8"/>
      <c r="F191" s="49">
        <f>F192</f>
        <v>6635.8</v>
      </c>
      <c r="G191" s="39"/>
      <c r="H191" s="39"/>
    </row>
    <row r="192" spans="1:8" ht="87.75" customHeight="1">
      <c r="A192" s="7" t="s">
        <v>208</v>
      </c>
      <c r="B192" s="8" t="s">
        <v>135</v>
      </c>
      <c r="C192" s="8" t="s">
        <v>102</v>
      </c>
      <c r="D192" s="7">
        <v>5220506</v>
      </c>
      <c r="E192" s="8" t="s">
        <v>209</v>
      </c>
      <c r="F192" s="49">
        <f>2500+2500+2000+1000-1364.2</f>
        <v>6635.8</v>
      </c>
      <c r="G192" s="39"/>
      <c r="H192" s="39"/>
    </row>
    <row r="193" spans="1:8" ht="57.75" customHeight="1">
      <c r="A193" s="7" t="s">
        <v>233</v>
      </c>
      <c r="B193" s="8" t="s">
        <v>135</v>
      </c>
      <c r="C193" s="8" t="s">
        <v>102</v>
      </c>
      <c r="D193" s="8" t="s">
        <v>234</v>
      </c>
      <c r="E193" s="8" t="s">
        <v>98</v>
      </c>
      <c r="F193" s="49">
        <f>F194+F195</f>
        <v>9342</v>
      </c>
      <c r="G193" s="39">
        <f>G194</f>
        <v>0</v>
      </c>
      <c r="H193" s="39">
        <f>H194</f>
        <v>0</v>
      </c>
    </row>
    <row r="194" spans="1:8" ht="78" customHeight="1">
      <c r="A194" s="7" t="s">
        <v>208</v>
      </c>
      <c r="B194" s="8" t="s">
        <v>135</v>
      </c>
      <c r="C194" s="8" t="s">
        <v>102</v>
      </c>
      <c r="D194" s="8" t="s">
        <v>234</v>
      </c>
      <c r="E194" s="8" t="s">
        <v>209</v>
      </c>
      <c r="F194" s="49">
        <v>1142</v>
      </c>
      <c r="G194" s="39">
        <v>0</v>
      </c>
      <c r="H194" s="39">
        <v>0</v>
      </c>
    </row>
    <row r="195" spans="1:8" ht="57" customHeight="1">
      <c r="A195" s="7" t="s">
        <v>267</v>
      </c>
      <c r="B195" s="8" t="s">
        <v>135</v>
      </c>
      <c r="C195" s="8" t="s">
        <v>102</v>
      </c>
      <c r="D195" s="8" t="s">
        <v>268</v>
      </c>
      <c r="E195" s="8" t="s">
        <v>198</v>
      </c>
      <c r="F195" s="49">
        <v>8200</v>
      </c>
      <c r="G195" s="39"/>
      <c r="H195" s="39"/>
    </row>
    <row r="196" spans="1:8" ht="44.25" customHeight="1">
      <c r="A196" s="7" t="s">
        <v>230</v>
      </c>
      <c r="B196" s="8" t="s">
        <v>135</v>
      </c>
      <c r="C196" s="8" t="s">
        <v>102</v>
      </c>
      <c r="D196" s="8" t="s">
        <v>493</v>
      </c>
      <c r="E196" s="8"/>
      <c r="F196" s="49">
        <f>F197</f>
        <v>0</v>
      </c>
      <c r="G196" s="39">
        <f>G197</f>
        <v>0</v>
      </c>
      <c r="H196" s="39">
        <f>H197</f>
        <v>0</v>
      </c>
    </row>
    <row r="197" spans="1:8" ht="83.25" customHeight="1">
      <c r="A197" s="7" t="s">
        <v>208</v>
      </c>
      <c r="B197" s="8" t="s">
        <v>135</v>
      </c>
      <c r="C197" s="8" t="s">
        <v>102</v>
      </c>
      <c r="D197" s="8" t="s">
        <v>493</v>
      </c>
      <c r="E197" s="8" t="s">
        <v>203</v>
      </c>
      <c r="F197" s="49">
        <f>30000-30000</f>
        <v>0</v>
      </c>
      <c r="G197" s="39"/>
      <c r="H197" s="39"/>
    </row>
    <row r="198" spans="1:8" ht="18.75" customHeight="1">
      <c r="A198" s="7" t="s">
        <v>673</v>
      </c>
      <c r="B198" s="8" t="s">
        <v>135</v>
      </c>
      <c r="C198" s="8" t="s">
        <v>102</v>
      </c>
      <c r="D198" s="8" t="s">
        <v>676</v>
      </c>
      <c r="E198" s="8" t="s">
        <v>98</v>
      </c>
      <c r="F198" s="49">
        <f>F199+F205+F208+F211</f>
        <v>71340.908</v>
      </c>
      <c r="G198" s="39">
        <f>G199+G205+G208</f>
        <v>46027.7</v>
      </c>
      <c r="H198" s="39">
        <f>H199+H205+H208</f>
        <v>46027.7</v>
      </c>
    </row>
    <row r="199" spans="1:8" ht="56.25" customHeight="1">
      <c r="A199" s="7" t="s">
        <v>235</v>
      </c>
      <c r="B199" s="8" t="s">
        <v>135</v>
      </c>
      <c r="C199" s="8" t="s">
        <v>102</v>
      </c>
      <c r="D199" s="38" t="s">
        <v>584</v>
      </c>
      <c r="E199" s="8" t="s">
        <v>98</v>
      </c>
      <c r="F199" s="49">
        <f>F200+F201+F203+F202+F204</f>
        <v>51923.898</v>
      </c>
      <c r="G199" s="39">
        <v>30000</v>
      </c>
      <c r="H199" s="39">
        <v>30000</v>
      </c>
    </row>
    <row r="200" spans="1:8" ht="40.5" customHeight="1">
      <c r="A200" s="18" t="s">
        <v>308</v>
      </c>
      <c r="B200" s="8" t="s">
        <v>135</v>
      </c>
      <c r="C200" s="8" t="s">
        <v>102</v>
      </c>
      <c r="D200" s="38" t="s">
        <v>64</v>
      </c>
      <c r="E200" s="8" t="s">
        <v>98</v>
      </c>
      <c r="F200" s="49">
        <v>0</v>
      </c>
      <c r="G200" s="39">
        <v>0</v>
      </c>
      <c r="H200" s="39">
        <v>0</v>
      </c>
    </row>
    <row r="201" spans="1:8" ht="66" customHeight="1">
      <c r="A201" s="7" t="s">
        <v>585</v>
      </c>
      <c r="B201" s="8" t="s">
        <v>135</v>
      </c>
      <c r="C201" s="8" t="s">
        <v>102</v>
      </c>
      <c r="D201" s="8" t="s">
        <v>236</v>
      </c>
      <c r="E201" s="8" t="s">
        <v>203</v>
      </c>
      <c r="F201" s="49">
        <v>0</v>
      </c>
      <c r="G201" s="39">
        <v>30000</v>
      </c>
      <c r="H201" s="39">
        <v>30000</v>
      </c>
    </row>
    <row r="202" spans="1:8" ht="67.5" customHeight="1">
      <c r="A202" s="7" t="s">
        <v>585</v>
      </c>
      <c r="B202" s="8" t="s">
        <v>135</v>
      </c>
      <c r="C202" s="8" t="s">
        <v>102</v>
      </c>
      <c r="D202" s="8" t="s">
        <v>236</v>
      </c>
      <c r="E202" s="8" t="s">
        <v>405</v>
      </c>
      <c r="F202" s="49">
        <v>8332.5</v>
      </c>
      <c r="G202" s="39"/>
      <c r="H202" s="39"/>
    </row>
    <row r="203" spans="1:8" ht="66.75" customHeight="1">
      <c r="A203" s="7" t="s">
        <v>289</v>
      </c>
      <c r="B203" s="8" t="s">
        <v>135</v>
      </c>
      <c r="C203" s="8" t="s">
        <v>102</v>
      </c>
      <c r="D203" s="8" t="s">
        <v>236</v>
      </c>
      <c r="E203" s="8" t="s">
        <v>288</v>
      </c>
      <c r="F203" s="49">
        <v>5511.398</v>
      </c>
      <c r="G203" s="39"/>
      <c r="H203" s="39"/>
    </row>
    <row r="204" spans="1:8" ht="66.75" customHeight="1">
      <c r="A204" s="7" t="s">
        <v>208</v>
      </c>
      <c r="B204" s="8" t="s">
        <v>135</v>
      </c>
      <c r="C204" s="8" t="s">
        <v>102</v>
      </c>
      <c r="D204" s="8" t="s">
        <v>584</v>
      </c>
      <c r="E204" s="8" t="s">
        <v>209</v>
      </c>
      <c r="F204" s="49">
        <v>38080</v>
      </c>
      <c r="G204" s="39"/>
      <c r="H204" s="39"/>
    </row>
    <row r="205" spans="1:8" ht="27" customHeight="1">
      <c r="A205" s="7" t="s">
        <v>237</v>
      </c>
      <c r="B205" s="8" t="s">
        <v>135</v>
      </c>
      <c r="C205" s="8" t="s">
        <v>102</v>
      </c>
      <c r="D205" s="8" t="s">
        <v>238</v>
      </c>
      <c r="E205" s="8" t="s">
        <v>98</v>
      </c>
      <c r="F205" s="49">
        <f>F206+F207</f>
        <v>10768.81</v>
      </c>
      <c r="G205" s="39">
        <f>G206</f>
        <v>5286</v>
      </c>
      <c r="H205" s="39">
        <f>H206</f>
        <v>5286</v>
      </c>
    </row>
    <row r="206" spans="1:8" ht="81" customHeight="1">
      <c r="A206" s="7" t="s">
        <v>208</v>
      </c>
      <c r="B206" s="8" t="s">
        <v>135</v>
      </c>
      <c r="C206" s="8" t="s">
        <v>102</v>
      </c>
      <c r="D206" s="8" t="s">
        <v>238</v>
      </c>
      <c r="E206" s="8" t="s">
        <v>209</v>
      </c>
      <c r="F206" s="49">
        <v>9635.4</v>
      </c>
      <c r="G206" s="39">
        <v>5286</v>
      </c>
      <c r="H206" s="39">
        <v>5286</v>
      </c>
    </row>
    <row r="207" spans="1:8" ht="81" customHeight="1">
      <c r="A207" s="7" t="s">
        <v>303</v>
      </c>
      <c r="B207" s="8" t="s">
        <v>135</v>
      </c>
      <c r="C207" s="8" t="s">
        <v>102</v>
      </c>
      <c r="D207" s="8" t="s">
        <v>238</v>
      </c>
      <c r="E207" s="8" t="s">
        <v>302</v>
      </c>
      <c r="F207" s="49">
        <f>200+933.41</f>
        <v>1133.4099999999999</v>
      </c>
      <c r="G207" s="39"/>
      <c r="H207" s="39"/>
    </row>
    <row r="208" spans="1:8" ht="40.5" customHeight="1">
      <c r="A208" s="7" t="s">
        <v>179</v>
      </c>
      <c r="B208" s="8" t="s">
        <v>135</v>
      </c>
      <c r="C208" s="8" t="s">
        <v>102</v>
      </c>
      <c r="D208" s="8" t="s">
        <v>239</v>
      </c>
      <c r="E208" s="8" t="s">
        <v>98</v>
      </c>
      <c r="F208" s="49">
        <f>F209+F210</f>
        <v>3752.8</v>
      </c>
      <c r="G208" s="39">
        <f>G209</f>
        <v>10741.7</v>
      </c>
      <c r="H208" s="39">
        <f>H209</f>
        <v>10741.7</v>
      </c>
    </row>
    <row r="209" spans="1:8" ht="76.5">
      <c r="A209" s="7" t="s">
        <v>208</v>
      </c>
      <c r="B209" s="8" t="s">
        <v>135</v>
      </c>
      <c r="C209" s="8" t="s">
        <v>102</v>
      </c>
      <c r="D209" s="8" t="s">
        <v>239</v>
      </c>
      <c r="E209" s="8" t="s">
        <v>209</v>
      </c>
      <c r="F209" s="49">
        <v>3111.3</v>
      </c>
      <c r="G209" s="39">
        <v>10741.7</v>
      </c>
      <c r="H209" s="39">
        <v>10741.7</v>
      </c>
    </row>
    <row r="210" spans="1:8" ht="62.25" customHeight="1">
      <c r="A210" s="7" t="s">
        <v>197</v>
      </c>
      <c r="B210" s="13" t="s">
        <v>135</v>
      </c>
      <c r="C210" s="13" t="s">
        <v>102</v>
      </c>
      <c r="D210" s="13" t="s">
        <v>334</v>
      </c>
      <c r="E210" s="13" t="s">
        <v>198</v>
      </c>
      <c r="F210" s="48">
        <v>641.5</v>
      </c>
      <c r="G210" s="48"/>
      <c r="H210" s="48"/>
    </row>
    <row r="211" spans="1:8" ht="25.5">
      <c r="A211" s="7" t="s">
        <v>410</v>
      </c>
      <c r="B211" s="8" t="s">
        <v>135</v>
      </c>
      <c r="C211" s="8" t="s">
        <v>102</v>
      </c>
      <c r="D211" s="8" t="s">
        <v>477</v>
      </c>
      <c r="E211" s="8" t="s">
        <v>209</v>
      </c>
      <c r="F211" s="49">
        <v>4895.4</v>
      </c>
      <c r="G211" s="39"/>
      <c r="H211" s="39"/>
    </row>
    <row r="212" spans="1:8" ht="17.25" customHeight="1">
      <c r="A212" s="7" t="s">
        <v>240</v>
      </c>
      <c r="B212" s="8" t="s">
        <v>135</v>
      </c>
      <c r="C212" s="8" t="s">
        <v>104</v>
      </c>
      <c r="D212" s="8" t="s">
        <v>99</v>
      </c>
      <c r="E212" s="8" t="s">
        <v>98</v>
      </c>
      <c r="F212" s="49">
        <f>F217+F244+F247+F254+F213+F214</f>
        <v>485551.4</v>
      </c>
      <c r="G212" s="39">
        <f>G217+G244+G247+G254</f>
        <v>416158.3</v>
      </c>
      <c r="H212" s="39">
        <f>H217+H244+H247+H254</f>
        <v>416158.3</v>
      </c>
    </row>
    <row r="213" spans="1:8" ht="21.75" customHeight="1">
      <c r="A213" s="7" t="s">
        <v>297</v>
      </c>
      <c r="B213" s="8" t="s">
        <v>135</v>
      </c>
      <c r="C213" s="8" t="s">
        <v>104</v>
      </c>
      <c r="D213" s="8" t="s">
        <v>142</v>
      </c>
      <c r="E213" s="8" t="s">
        <v>209</v>
      </c>
      <c r="F213" s="49">
        <f>500+2090+1800.3</f>
        <v>4390.3</v>
      </c>
      <c r="G213" s="39"/>
      <c r="H213" s="39"/>
    </row>
    <row r="214" spans="1:8" ht="40.5" customHeight="1">
      <c r="A214" s="7" t="s">
        <v>293</v>
      </c>
      <c r="B214" s="8" t="s">
        <v>135</v>
      </c>
      <c r="C214" s="8" t="s">
        <v>104</v>
      </c>
      <c r="D214" s="8" t="s">
        <v>291</v>
      </c>
      <c r="E214" s="8"/>
      <c r="F214" s="49">
        <f>F215+F216</f>
        <v>5384.9</v>
      </c>
      <c r="G214" s="39"/>
      <c r="H214" s="39"/>
    </row>
    <row r="215" spans="1:8" ht="63.75" customHeight="1">
      <c r="A215" s="7" t="s">
        <v>197</v>
      </c>
      <c r="B215" s="8" t="s">
        <v>135</v>
      </c>
      <c r="C215" s="8" t="s">
        <v>104</v>
      </c>
      <c r="D215" s="8" t="s">
        <v>292</v>
      </c>
      <c r="E215" s="8" t="s">
        <v>209</v>
      </c>
      <c r="F215" s="49">
        <v>5322</v>
      </c>
      <c r="G215" s="39"/>
      <c r="H215" s="39"/>
    </row>
    <row r="216" spans="1:8" ht="63.75" customHeight="1">
      <c r="A216" s="7" t="s">
        <v>115</v>
      </c>
      <c r="B216" s="8" t="s">
        <v>135</v>
      </c>
      <c r="C216" s="8" t="s">
        <v>104</v>
      </c>
      <c r="D216" s="8" t="s">
        <v>292</v>
      </c>
      <c r="E216" s="8" t="s">
        <v>116</v>
      </c>
      <c r="F216" s="49">
        <v>62.9</v>
      </c>
      <c r="G216" s="39"/>
      <c r="H216" s="39"/>
    </row>
    <row r="217" spans="1:8" ht="15.75" customHeight="1">
      <c r="A217" s="7" t="s">
        <v>679</v>
      </c>
      <c r="B217" s="8" t="s">
        <v>135</v>
      </c>
      <c r="C217" s="8" t="s">
        <v>104</v>
      </c>
      <c r="D217" s="8" t="s">
        <v>678</v>
      </c>
      <c r="E217" s="8" t="s">
        <v>98</v>
      </c>
      <c r="F217" s="49">
        <f>F221+F223+F225+F229+F218</f>
        <v>414065.9</v>
      </c>
      <c r="G217" s="39">
        <f>G221+G223+G225+G229</f>
        <v>390000</v>
      </c>
      <c r="H217" s="39">
        <f>H221+H223+H225+H229</f>
        <v>390000</v>
      </c>
    </row>
    <row r="218" spans="1:8" ht="54.75" customHeight="1">
      <c r="A218" s="7" t="s">
        <v>304</v>
      </c>
      <c r="B218" s="8" t="s">
        <v>135</v>
      </c>
      <c r="C218" s="8" t="s">
        <v>104</v>
      </c>
      <c r="D218" s="8" t="s">
        <v>305</v>
      </c>
      <c r="E218" s="8"/>
      <c r="F218" s="49">
        <f>F219+F220</f>
        <v>944.4</v>
      </c>
      <c r="G218" s="39"/>
      <c r="H218" s="39"/>
    </row>
    <row r="219" spans="1:8" ht="51.75" customHeight="1">
      <c r="A219" s="7" t="s">
        <v>197</v>
      </c>
      <c r="B219" s="8" t="s">
        <v>135</v>
      </c>
      <c r="C219" s="8" t="s">
        <v>104</v>
      </c>
      <c r="D219" s="8" t="s">
        <v>305</v>
      </c>
      <c r="E219" s="8" t="s">
        <v>209</v>
      </c>
      <c r="F219" s="49">
        <v>857</v>
      </c>
      <c r="G219" s="39"/>
      <c r="H219" s="39"/>
    </row>
    <row r="220" spans="1:8" ht="51.75" customHeight="1">
      <c r="A220" s="7" t="s">
        <v>306</v>
      </c>
      <c r="B220" s="8" t="s">
        <v>135</v>
      </c>
      <c r="C220" s="8" t="s">
        <v>104</v>
      </c>
      <c r="D220" s="8" t="s">
        <v>269</v>
      </c>
      <c r="E220" s="8" t="s">
        <v>302</v>
      </c>
      <c r="F220" s="49">
        <v>87.4</v>
      </c>
      <c r="G220" s="39"/>
      <c r="H220" s="39"/>
    </row>
    <row r="221" spans="1:8" ht="54" customHeight="1">
      <c r="A221" s="7" t="s">
        <v>228</v>
      </c>
      <c r="B221" s="8" t="s">
        <v>135</v>
      </c>
      <c r="C221" s="8" t="s">
        <v>104</v>
      </c>
      <c r="D221" s="8" t="s">
        <v>229</v>
      </c>
      <c r="E221" s="8" t="s">
        <v>98</v>
      </c>
      <c r="F221" s="49">
        <f>F222</f>
        <v>343778.8</v>
      </c>
      <c r="G221" s="39">
        <f>G222</f>
        <v>306400</v>
      </c>
      <c r="H221" s="39">
        <f>H222</f>
        <v>306400</v>
      </c>
    </row>
    <row r="222" spans="1:8" ht="60" customHeight="1">
      <c r="A222" s="7" t="s">
        <v>197</v>
      </c>
      <c r="B222" s="8" t="s">
        <v>135</v>
      </c>
      <c r="C222" s="8" t="s">
        <v>104</v>
      </c>
      <c r="D222" s="8" t="s">
        <v>229</v>
      </c>
      <c r="E222" s="8" t="s">
        <v>198</v>
      </c>
      <c r="F222" s="49">
        <v>343778.8</v>
      </c>
      <c r="G222" s="39">
        <v>306400</v>
      </c>
      <c r="H222" s="39">
        <v>306400</v>
      </c>
    </row>
    <row r="223" spans="1:8" ht="57.75" customHeight="1">
      <c r="A223" s="7" t="s">
        <v>241</v>
      </c>
      <c r="B223" s="8" t="s">
        <v>135</v>
      </c>
      <c r="C223" s="8" t="s">
        <v>104</v>
      </c>
      <c r="D223" s="8" t="s">
        <v>242</v>
      </c>
      <c r="E223" s="8" t="s">
        <v>98</v>
      </c>
      <c r="F223" s="49">
        <f>F224</f>
        <v>26602.8</v>
      </c>
      <c r="G223" s="39">
        <f>G224</f>
        <v>46000</v>
      </c>
      <c r="H223" s="39">
        <f>H224</f>
        <v>46000</v>
      </c>
    </row>
    <row r="224" spans="1:8" ht="55.5" customHeight="1">
      <c r="A224" s="7" t="s">
        <v>197</v>
      </c>
      <c r="B224" s="8" t="s">
        <v>135</v>
      </c>
      <c r="C224" s="8" t="s">
        <v>104</v>
      </c>
      <c r="D224" s="8" t="s">
        <v>242</v>
      </c>
      <c r="E224" s="8" t="s">
        <v>198</v>
      </c>
      <c r="F224" s="49">
        <v>26602.8</v>
      </c>
      <c r="G224" s="39">
        <v>46000</v>
      </c>
      <c r="H224" s="39">
        <v>46000</v>
      </c>
    </row>
    <row r="225" spans="1:8" ht="66" customHeight="1">
      <c r="A225" s="7" t="s">
        <v>243</v>
      </c>
      <c r="B225" s="8" t="s">
        <v>135</v>
      </c>
      <c r="C225" s="8" t="s">
        <v>104</v>
      </c>
      <c r="D225" s="8" t="s">
        <v>244</v>
      </c>
      <c r="E225" s="8" t="s">
        <v>98</v>
      </c>
      <c r="F225" s="49">
        <f>F226+F227+F228</f>
        <v>600</v>
      </c>
      <c r="G225" s="39">
        <f>G226</f>
        <v>600</v>
      </c>
      <c r="H225" s="39">
        <f>H226</f>
        <v>600</v>
      </c>
    </row>
    <row r="226" spans="1:8" ht="81.75" customHeight="1">
      <c r="A226" s="7" t="s">
        <v>208</v>
      </c>
      <c r="B226" s="8" t="s">
        <v>135</v>
      </c>
      <c r="C226" s="8" t="s">
        <v>104</v>
      </c>
      <c r="D226" s="8" t="s">
        <v>244</v>
      </c>
      <c r="E226" s="8" t="s">
        <v>209</v>
      </c>
      <c r="F226" s="49">
        <v>367.1</v>
      </c>
      <c r="G226" s="39">
        <v>600</v>
      </c>
      <c r="H226" s="39">
        <v>600</v>
      </c>
    </row>
    <row r="227" spans="1:8" ht="76.5" customHeight="1">
      <c r="A227" s="7" t="s">
        <v>306</v>
      </c>
      <c r="B227" s="8" t="s">
        <v>135</v>
      </c>
      <c r="C227" s="8" t="s">
        <v>104</v>
      </c>
      <c r="D227" s="8" t="s">
        <v>270</v>
      </c>
      <c r="E227" s="8" t="s">
        <v>302</v>
      </c>
      <c r="F227" s="49">
        <v>26.5</v>
      </c>
      <c r="G227" s="39"/>
      <c r="H227" s="39"/>
    </row>
    <row r="228" spans="1:8" ht="81.75" customHeight="1">
      <c r="A228" s="7" t="s">
        <v>197</v>
      </c>
      <c r="B228" s="8" t="s">
        <v>135</v>
      </c>
      <c r="C228" s="8" t="s">
        <v>104</v>
      </c>
      <c r="D228" s="8" t="s">
        <v>270</v>
      </c>
      <c r="E228" s="8" t="s">
        <v>198</v>
      </c>
      <c r="F228" s="49">
        <v>206.4</v>
      </c>
      <c r="G228" s="39"/>
      <c r="H228" s="39"/>
    </row>
    <row r="229" spans="1:8" ht="25.5">
      <c r="A229" s="7" t="s">
        <v>681</v>
      </c>
      <c r="B229" s="8" t="s">
        <v>135</v>
      </c>
      <c r="C229" s="8" t="s">
        <v>104</v>
      </c>
      <c r="D229" s="8" t="s">
        <v>680</v>
      </c>
      <c r="E229" s="8" t="s">
        <v>98</v>
      </c>
      <c r="F229" s="49">
        <f>F230+F234+F237+F239</f>
        <v>42139.9</v>
      </c>
      <c r="G229" s="39">
        <f>G230+G234+G237+G239</f>
        <v>37000</v>
      </c>
      <c r="H229" s="39">
        <f>H230+H234+H237+H239</f>
        <v>37000</v>
      </c>
    </row>
    <row r="230" spans="1:8" ht="12.75">
      <c r="A230" s="7" t="s">
        <v>245</v>
      </c>
      <c r="B230" s="8" t="s">
        <v>135</v>
      </c>
      <c r="C230" s="8" t="s">
        <v>104</v>
      </c>
      <c r="D230" s="8" t="s">
        <v>246</v>
      </c>
      <c r="E230" s="8" t="s">
        <v>98</v>
      </c>
      <c r="F230" s="49">
        <f>F231+F233+F232</f>
        <v>22703.5</v>
      </c>
      <c r="G230" s="39">
        <f>G231</f>
        <v>16000</v>
      </c>
      <c r="H230" s="39">
        <f>H231</f>
        <v>16000</v>
      </c>
    </row>
    <row r="231" spans="1:8" ht="81.75" customHeight="1">
      <c r="A231" s="7" t="s">
        <v>208</v>
      </c>
      <c r="B231" s="8" t="s">
        <v>135</v>
      </c>
      <c r="C231" s="8" t="s">
        <v>104</v>
      </c>
      <c r="D231" s="8" t="s">
        <v>246</v>
      </c>
      <c r="E231" s="8" t="s">
        <v>209</v>
      </c>
      <c r="F231" s="49">
        <v>5187.8</v>
      </c>
      <c r="G231" s="39">
        <v>16000</v>
      </c>
      <c r="H231" s="39">
        <v>16000</v>
      </c>
    </row>
    <row r="232" spans="1:8" ht="78" customHeight="1">
      <c r="A232" s="18" t="s">
        <v>306</v>
      </c>
      <c r="B232" s="13" t="s">
        <v>135</v>
      </c>
      <c r="C232" s="13" t="s">
        <v>104</v>
      </c>
      <c r="D232" s="13" t="s">
        <v>290</v>
      </c>
      <c r="E232" s="13" t="s">
        <v>302</v>
      </c>
      <c r="F232" s="49">
        <v>721.9</v>
      </c>
      <c r="G232" s="48"/>
      <c r="H232" s="48"/>
    </row>
    <row r="233" spans="1:8" ht="42" customHeight="1">
      <c r="A233" s="7" t="s">
        <v>115</v>
      </c>
      <c r="B233" s="8" t="s">
        <v>135</v>
      </c>
      <c r="C233" s="8" t="s">
        <v>104</v>
      </c>
      <c r="D233" s="8" t="s">
        <v>290</v>
      </c>
      <c r="E233" s="8" t="s">
        <v>116</v>
      </c>
      <c r="F233" s="49">
        <f>10000+393.8+125+1817+4251.7+206.3</f>
        <v>16793.8</v>
      </c>
      <c r="G233" s="39"/>
      <c r="H233" s="39"/>
    </row>
    <row r="234" spans="1:8" ht="23.25" customHeight="1">
      <c r="A234" s="7" t="s">
        <v>247</v>
      </c>
      <c r="B234" s="8" t="s">
        <v>135</v>
      </c>
      <c r="C234" s="8" t="s">
        <v>104</v>
      </c>
      <c r="D234" s="8" t="s">
        <v>248</v>
      </c>
      <c r="E234" s="8" t="s">
        <v>98</v>
      </c>
      <c r="F234" s="49">
        <f>F235+F236</f>
        <v>14606.7</v>
      </c>
      <c r="G234" s="39">
        <f>G235</f>
        <v>15000</v>
      </c>
      <c r="H234" s="39">
        <f>H235</f>
        <v>15000</v>
      </c>
    </row>
    <row r="235" spans="1:8" ht="80.25" customHeight="1">
      <c r="A235" s="7" t="s">
        <v>208</v>
      </c>
      <c r="B235" s="8" t="s">
        <v>135</v>
      </c>
      <c r="C235" s="8" t="s">
        <v>104</v>
      </c>
      <c r="D235" s="8" t="s">
        <v>248</v>
      </c>
      <c r="E235" s="8" t="s">
        <v>209</v>
      </c>
      <c r="F235" s="49">
        <v>13407.5</v>
      </c>
      <c r="G235" s="39">
        <v>15000</v>
      </c>
      <c r="H235" s="39">
        <v>15000</v>
      </c>
    </row>
    <row r="236" spans="1:8" ht="80.25" customHeight="1">
      <c r="A236" s="7" t="s">
        <v>271</v>
      </c>
      <c r="B236" s="8" t="s">
        <v>135</v>
      </c>
      <c r="C236" s="8" t="s">
        <v>104</v>
      </c>
      <c r="D236" s="8" t="s">
        <v>272</v>
      </c>
      <c r="E236" s="8" t="s">
        <v>302</v>
      </c>
      <c r="F236" s="49">
        <v>1199.2</v>
      </c>
      <c r="G236" s="39"/>
      <c r="H236" s="39"/>
    </row>
    <row r="237" spans="1:8" ht="30.75" customHeight="1">
      <c r="A237" s="7" t="s">
        <v>249</v>
      </c>
      <c r="B237" s="8" t="s">
        <v>135</v>
      </c>
      <c r="C237" s="8" t="s">
        <v>104</v>
      </c>
      <c r="D237" s="8" t="s">
        <v>250</v>
      </c>
      <c r="E237" s="8" t="s">
        <v>98</v>
      </c>
      <c r="F237" s="49">
        <f>F238</f>
        <v>3044.9</v>
      </c>
      <c r="G237" s="39">
        <f>G238</f>
        <v>4450</v>
      </c>
      <c r="H237" s="39">
        <f>H238</f>
        <v>4550</v>
      </c>
    </row>
    <row r="238" spans="1:8" ht="53.25" customHeight="1">
      <c r="A238" s="7" t="s">
        <v>252</v>
      </c>
      <c r="B238" s="8" t="s">
        <v>135</v>
      </c>
      <c r="C238" s="8" t="s">
        <v>104</v>
      </c>
      <c r="D238" s="8" t="s">
        <v>250</v>
      </c>
      <c r="E238" s="8" t="s">
        <v>491</v>
      </c>
      <c r="F238" s="49">
        <v>3044.9</v>
      </c>
      <c r="G238" s="39">
        <v>4450</v>
      </c>
      <c r="H238" s="39">
        <v>4550</v>
      </c>
    </row>
    <row r="239" spans="1:8" ht="25.5">
      <c r="A239" s="7" t="s">
        <v>254</v>
      </c>
      <c r="B239" s="8" t="s">
        <v>135</v>
      </c>
      <c r="C239" s="8" t="s">
        <v>104</v>
      </c>
      <c r="D239" s="8" t="s">
        <v>255</v>
      </c>
      <c r="E239" s="8" t="s">
        <v>98</v>
      </c>
      <c r="F239" s="49">
        <f>F240+F242+F243</f>
        <v>1784.8</v>
      </c>
      <c r="G239" s="39">
        <f aca="true" t="shared" si="10" ref="F239:H240">G240</f>
        <v>1550</v>
      </c>
      <c r="H239" s="39">
        <f t="shared" si="10"/>
        <v>1450</v>
      </c>
    </row>
    <row r="240" spans="1:8" ht="42" customHeight="1">
      <c r="A240" s="7" t="s">
        <v>252</v>
      </c>
      <c r="B240" s="8" t="s">
        <v>135</v>
      </c>
      <c r="C240" s="8" t="s">
        <v>104</v>
      </c>
      <c r="D240" s="8" t="s">
        <v>255</v>
      </c>
      <c r="E240" s="8"/>
      <c r="F240" s="49">
        <f t="shared" si="10"/>
        <v>985.5</v>
      </c>
      <c r="G240" s="39">
        <f t="shared" si="10"/>
        <v>1550</v>
      </c>
      <c r="H240" s="39">
        <f t="shared" si="10"/>
        <v>1450</v>
      </c>
    </row>
    <row r="241" spans="1:8" ht="33" customHeight="1">
      <c r="A241" s="7" t="s">
        <v>492</v>
      </c>
      <c r="B241" s="8" t="s">
        <v>135</v>
      </c>
      <c r="C241" s="8" t="s">
        <v>104</v>
      </c>
      <c r="D241" s="8" t="s">
        <v>255</v>
      </c>
      <c r="E241" s="8" t="s">
        <v>491</v>
      </c>
      <c r="F241" s="49">
        <v>985.5</v>
      </c>
      <c r="G241" s="39">
        <v>1550</v>
      </c>
      <c r="H241" s="39">
        <v>1450</v>
      </c>
    </row>
    <row r="242" spans="1:8" ht="80.25" customHeight="1">
      <c r="A242" s="7" t="s">
        <v>208</v>
      </c>
      <c r="B242" s="8" t="s">
        <v>135</v>
      </c>
      <c r="C242" s="8" t="s">
        <v>104</v>
      </c>
      <c r="D242" s="8" t="s">
        <v>255</v>
      </c>
      <c r="E242" s="8" t="s">
        <v>209</v>
      </c>
      <c r="F242" s="49">
        <v>784.3</v>
      </c>
      <c r="G242" s="39"/>
      <c r="H242" s="39"/>
    </row>
    <row r="243" spans="1:8" ht="78" customHeight="1">
      <c r="A243" s="18" t="s">
        <v>306</v>
      </c>
      <c r="B243" s="13" t="s">
        <v>135</v>
      </c>
      <c r="C243" s="13" t="s">
        <v>104</v>
      </c>
      <c r="D243" s="13" t="s">
        <v>499</v>
      </c>
      <c r="E243" s="13" t="s">
        <v>302</v>
      </c>
      <c r="F243" s="49">
        <v>15</v>
      </c>
      <c r="G243" s="48"/>
      <c r="H243" s="48"/>
    </row>
    <row r="244" spans="1:8" ht="28.5" customHeight="1">
      <c r="A244" s="7" t="s">
        <v>199</v>
      </c>
      <c r="B244" s="8" t="s">
        <v>135</v>
      </c>
      <c r="C244" s="8" t="s">
        <v>104</v>
      </c>
      <c r="D244" s="8" t="s">
        <v>670</v>
      </c>
      <c r="E244" s="8" t="s">
        <v>98</v>
      </c>
      <c r="F244" s="49">
        <f aca="true" t="shared" si="11" ref="F244:H245">F245</f>
        <v>23913.2</v>
      </c>
      <c r="G244" s="39">
        <f t="shared" si="11"/>
        <v>0</v>
      </c>
      <c r="H244" s="39">
        <f t="shared" si="11"/>
        <v>0</v>
      </c>
    </row>
    <row r="245" spans="1:8" ht="42" customHeight="1">
      <c r="A245" s="7" t="s">
        <v>333</v>
      </c>
      <c r="B245" s="8" t="s">
        <v>135</v>
      </c>
      <c r="C245" s="8" t="s">
        <v>104</v>
      </c>
      <c r="D245" s="8" t="s">
        <v>231</v>
      </c>
      <c r="E245" s="8" t="s">
        <v>98</v>
      </c>
      <c r="F245" s="49">
        <f t="shared" si="11"/>
        <v>23913.2</v>
      </c>
      <c r="G245" s="39">
        <f t="shared" si="11"/>
        <v>0</v>
      </c>
      <c r="H245" s="39">
        <f t="shared" si="11"/>
        <v>0</v>
      </c>
    </row>
    <row r="246" spans="1:8" ht="80.25" customHeight="1">
      <c r="A246" s="7" t="s">
        <v>208</v>
      </c>
      <c r="B246" s="8" t="s">
        <v>135</v>
      </c>
      <c r="C246" s="8" t="s">
        <v>104</v>
      </c>
      <c r="D246" s="8" t="s">
        <v>231</v>
      </c>
      <c r="E246" s="8" t="s">
        <v>209</v>
      </c>
      <c r="F246" s="49">
        <v>23913.2</v>
      </c>
      <c r="G246" s="39">
        <v>0</v>
      </c>
      <c r="H246" s="39">
        <v>0</v>
      </c>
    </row>
    <row r="247" spans="1:8" ht="21" customHeight="1">
      <c r="A247" s="7" t="s">
        <v>232</v>
      </c>
      <c r="B247" s="8" t="s">
        <v>135</v>
      </c>
      <c r="C247" s="8" t="s">
        <v>104</v>
      </c>
      <c r="D247" s="8" t="s">
        <v>675</v>
      </c>
      <c r="E247" s="8" t="s">
        <v>98</v>
      </c>
      <c r="F247" s="49">
        <f>F250+F248</f>
        <v>15588.6</v>
      </c>
      <c r="G247" s="39">
        <f>G250</f>
        <v>10600</v>
      </c>
      <c r="H247" s="39">
        <f>H250</f>
        <v>10600</v>
      </c>
    </row>
    <row r="248" spans="1:8" ht="21" customHeight="1">
      <c r="A248" s="7" t="s">
        <v>326</v>
      </c>
      <c r="B248" s="8" t="s">
        <v>135</v>
      </c>
      <c r="C248" s="8" t="s">
        <v>104</v>
      </c>
      <c r="D248" s="8" t="s">
        <v>327</v>
      </c>
      <c r="E248" s="8"/>
      <c r="F248" s="49">
        <f>F249</f>
        <v>3000</v>
      </c>
      <c r="G248" s="39"/>
      <c r="H248" s="39"/>
    </row>
    <row r="249" spans="1:8" ht="79.5" customHeight="1">
      <c r="A249" s="7" t="s">
        <v>208</v>
      </c>
      <c r="B249" s="8" t="s">
        <v>135</v>
      </c>
      <c r="C249" s="8" t="s">
        <v>104</v>
      </c>
      <c r="D249" s="8" t="s">
        <v>327</v>
      </c>
      <c r="E249" s="8" t="s">
        <v>209</v>
      </c>
      <c r="F249" s="49">
        <f>1500+1000+500</f>
        <v>3000</v>
      </c>
      <c r="G249" s="39"/>
      <c r="H249" s="39"/>
    </row>
    <row r="250" spans="1:8" ht="84.75" customHeight="1">
      <c r="A250" s="7" t="s">
        <v>256</v>
      </c>
      <c r="B250" s="8" t="s">
        <v>135</v>
      </c>
      <c r="C250" s="8" t="s">
        <v>104</v>
      </c>
      <c r="D250" s="13" t="s">
        <v>258</v>
      </c>
      <c r="E250" s="8" t="s">
        <v>98</v>
      </c>
      <c r="F250" s="49">
        <f>F251+F253</f>
        <v>12588.6</v>
      </c>
      <c r="G250" s="39">
        <f aca="true" t="shared" si="12" ref="F250:H251">G251</f>
        <v>10600</v>
      </c>
      <c r="H250" s="39">
        <f t="shared" si="12"/>
        <v>10600</v>
      </c>
    </row>
    <row r="251" spans="1:8" ht="23.25" customHeight="1">
      <c r="A251" s="7" t="s">
        <v>257</v>
      </c>
      <c r="B251" s="8" t="s">
        <v>135</v>
      </c>
      <c r="C251" s="8" t="s">
        <v>104</v>
      </c>
      <c r="D251" s="8" t="s">
        <v>258</v>
      </c>
      <c r="E251" s="8" t="s">
        <v>98</v>
      </c>
      <c r="F251" s="49">
        <f t="shared" si="12"/>
        <v>10600</v>
      </c>
      <c r="G251" s="39">
        <f t="shared" si="12"/>
        <v>10600</v>
      </c>
      <c r="H251" s="39">
        <f t="shared" si="12"/>
        <v>10600</v>
      </c>
    </row>
    <row r="252" spans="1:8" ht="81.75" customHeight="1">
      <c r="A252" s="7" t="s">
        <v>208</v>
      </c>
      <c r="B252" s="8" t="s">
        <v>135</v>
      </c>
      <c r="C252" s="8" t="s">
        <v>104</v>
      </c>
      <c r="D252" s="8" t="s">
        <v>258</v>
      </c>
      <c r="E252" s="8" t="s">
        <v>209</v>
      </c>
      <c r="F252" s="49">
        <v>10600</v>
      </c>
      <c r="G252" s="39">
        <v>10600</v>
      </c>
      <c r="H252" s="39">
        <v>10600</v>
      </c>
    </row>
    <row r="253" spans="1:8" ht="38.25" customHeight="1">
      <c r="A253" s="7" t="s">
        <v>115</v>
      </c>
      <c r="B253" s="8" t="s">
        <v>135</v>
      </c>
      <c r="C253" s="8" t="s">
        <v>104</v>
      </c>
      <c r="D253" s="8" t="s">
        <v>273</v>
      </c>
      <c r="E253" s="8" t="s">
        <v>116</v>
      </c>
      <c r="F253" s="49">
        <v>1988.6</v>
      </c>
      <c r="G253" s="39"/>
      <c r="H253" s="39"/>
    </row>
    <row r="254" spans="1:8" ht="16.5" customHeight="1">
      <c r="A254" s="7" t="s">
        <v>673</v>
      </c>
      <c r="B254" s="8" t="s">
        <v>135</v>
      </c>
      <c r="C254" s="8" t="s">
        <v>104</v>
      </c>
      <c r="D254" s="8" t="s">
        <v>676</v>
      </c>
      <c r="E254" s="8" t="s">
        <v>98</v>
      </c>
      <c r="F254" s="49">
        <f>F257+F260+F255</f>
        <v>22208.5</v>
      </c>
      <c r="G254" s="39">
        <f>G257+G260</f>
        <v>15558.3</v>
      </c>
      <c r="H254" s="39">
        <f>H257+H260</f>
        <v>15558.3</v>
      </c>
    </row>
    <row r="255" spans="1:8" ht="57" customHeight="1">
      <c r="A255" s="7" t="s">
        <v>235</v>
      </c>
      <c r="B255" s="8" t="s">
        <v>135</v>
      </c>
      <c r="C255" s="8" t="s">
        <v>104</v>
      </c>
      <c r="D255" s="13" t="s">
        <v>584</v>
      </c>
      <c r="E255" s="8"/>
      <c r="F255" s="49">
        <f>F256</f>
        <v>9000</v>
      </c>
      <c r="G255" s="39"/>
      <c r="H255" s="39"/>
    </row>
    <row r="256" spans="1:8" ht="81" customHeight="1">
      <c r="A256" s="7" t="s">
        <v>208</v>
      </c>
      <c r="B256" s="8" t="s">
        <v>135</v>
      </c>
      <c r="C256" s="8" t="s">
        <v>104</v>
      </c>
      <c r="D256" s="8" t="s">
        <v>236</v>
      </c>
      <c r="E256" s="8" t="s">
        <v>209</v>
      </c>
      <c r="F256" s="49">
        <f>8700+300</f>
        <v>9000</v>
      </c>
      <c r="G256" s="39"/>
      <c r="H256" s="39"/>
    </row>
    <row r="257" spans="1:8" ht="44.25" customHeight="1">
      <c r="A257" s="7" t="s">
        <v>259</v>
      </c>
      <c r="B257" s="8" t="s">
        <v>135</v>
      </c>
      <c r="C257" s="8" t="s">
        <v>104</v>
      </c>
      <c r="D257" s="8" t="s">
        <v>260</v>
      </c>
      <c r="E257" s="8" t="s">
        <v>98</v>
      </c>
      <c r="F257" s="49">
        <f>F258+F259</f>
        <v>12687.800000000001</v>
      </c>
      <c r="G257" s="39">
        <f>G258</f>
        <v>15000</v>
      </c>
      <c r="H257" s="39">
        <f>H258</f>
        <v>15000</v>
      </c>
    </row>
    <row r="258" spans="1:8" ht="81.75" customHeight="1">
      <c r="A258" s="7" t="s">
        <v>208</v>
      </c>
      <c r="B258" s="8" t="s">
        <v>135</v>
      </c>
      <c r="C258" s="8" t="s">
        <v>104</v>
      </c>
      <c r="D258" s="8" t="s">
        <v>260</v>
      </c>
      <c r="E258" s="8" t="s">
        <v>209</v>
      </c>
      <c r="F258" s="49">
        <v>11981.7</v>
      </c>
      <c r="G258" s="39">
        <v>15000</v>
      </c>
      <c r="H258" s="39">
        <v>15000</v>
      </c>
    </row>
    <row r="259" spans="1:8" ht="81.75" customHeight="1">
      <c r="A259" s="7" t="s">
        <v>306</v>
      </c>
      <c r="B259" s="8" t="s">
        <v>135</v>
      </c>
      <c r="C259" s="8" t="s">
        <v>104</v>
      </c>
      <c r="D259" s="8" t="s">
        <v>274</v>
      </c>
      <c r="E259" s="8" t="s">
        <v>302</v>
      </c>
      <c r="F259" s="49">
        <v>706.1</v>
      </c>
      <c r="G259" s="39"/>
      <c r="H259" s="39"/>
    </row>
    <row r="260" spans="1:8" ht="31.5" customHeight="1">
      <c r="A260" s="18" t="s">
        <v>237</v>
      </c>
      <c r="B260" s="8" t="s">
        <v>135</v>
      </c>
      <c r="C260" s="8" t="s">
        <v>104</v>
      </c>
      <c r="D260" s="8" t="s">
        <v>238</v>
      </c>
      <c r="E260" s="8" t="s">
        <v>98</v>
      </c>
      <c r="F260" s="49">
        <f>F261+F262</f>
        <v>520.7</v>
      </c>
      <c r="G260" s="39">
        <f>G261</f>
        <v>558.3</v>
      </c>
      <c r="H260" s="39">
        <f>H261</f>
        <v>558.3</v>
      </c>
    </row>
    <row r="261" spans="1:8" ht="83.25" customHeight="1">
      <c r="A261" s="7" t="s">
        <v>208</v>
      </c>
      <c r="B261" s="8" t="s">
        <v>135</v>
      </c>
      <c r="C261" s="8" t="s">
        <v>104</v>
      </c>
      <c r="D261" s="8" t="s">
        <v>238</v>
      </c>
      <c r="E261" s="8" t="s">
        <v>209</v>
      </c>
      <c r="F261" s="49">
        <v>358.4</v>
      </c>
      <c r="G261" s="39">
        <v>558.3</v>
      </c>
      <c r="H261" s="39">
        <v>558.3</v>
      </c>
    </row>
    <row r="262" spans="1:8" ht="76.5" customHeight="1">
      <c r="A262" s="7" t="s">
        <v>306</v>
      </c>
      <c r="B262" s="8" t="s">
        <v>135</v>
      </c>
      <c r="C262" s="8" t="s">
        <v>104</v>
      </c>
      <c r="D262" s="8" t="s">
        <v>275</v>
      </c>
      <c r="E262" s="8" t="s">
        <v>302</v>
      </c>
      <c r="F262" s="49">
        <v>162.3</v>
      </c>
      <c r="G262" s="39"/>
      <c r="H262" s="39"/>
    </row>
    <row r="263" spans="1:8" ht="18.75" customHeight="1">
      <c r="A263" s="7" t="s">
        <v>261</v>
      </c>
      <c r="B263" s="8" t="s">
        <v>135</v>
      </c>
      <c r="C263" s="8" t="s">
        <v>110</v>
      </c>
      <c r="D263" s="8" t="s">
        <v>99</v>
      </c>
      <c r="E263" s="8" t="s">
        <v>98</v>
      </c>
      <c r="F263" s="49">
        <f>F264+F269+F273+F296</f>
        <v>86682.937</v>
      </c>
      <c r="G263" s="39">
        <f>G264+G269+G273+G296</f>
        <v>196051</v>
      </c>
      <c r="H263" s="39">
        <f>H264+H269+H273+H296</f>
        <v>229414</v>
      </c>
    </row>
    <row r="264" spans="1:8" ht="31.5" customHeight="1">
      <c r="A264" s="7" t="s">
        <v>199</v>
      </c>
      <c r="B264" s="8" t="s">
        <v>135</v>
      </c>
      <c r="C264" s="8" t="s">
        <v>110</v>
      </c>
      <c r="D264" s="8" t="s">
        <v>670</v>
      </c>
      <c r="E264" s="8" t="s">
        <v>98</v>
      </c>
      <c r="F264" s="49">
        <f>F265</f>
        <v>19637.9</v>
      </c>
      <c r="G264" s="39">
        <v>0</v>
      </c>
      <c r="H264" s="39">
        <v>0</v>
      </c>
    </row>
    <row r="265" spans="1:8" ht="44.25" customHeight="1">
      <c r="A265" s="7" t="s">
        <v>230</v>
      </c>
      <c r="B265" s="8" t="s">
        <v>135</v>
      </c>
      <c r="C265" s="8" t="s">
        <v>110</v>
      </c>
      <c r="D265" s="8" t="s">
        <v>231</v>
      </c>
      <c r="E265" s="8" t="s">
        <v>98</v>
      </c>
      <c r="F265" s="49">
        <f>F266+F267+F268</f>
        <v>19637.9</v>
      </c>
      <c r="G265" s="39">
        <f>G266+G267</f>
        <v>0</v>
      </c>
      <c r="H265" s="39">
        <f>H266+H267</f>
        <v>0</v>
      </c>
    </row>
    <row r="266" spans="1:8" ht="31.5" customHeight="1">
      <c r="A266" s="7" t="s">
        <v>115</v>
      </c>
      <c r="B266" s="8" t="s">
        <v>135</v>
      </c>
      <c r="C266" s="8" t="s">
        <v>110</v>
      </c>
      <c r="D266" s="8" t="s">
        <v>231</v>
      </c>
      <c r="E266" s="8" t="s">
        <v>116</v>
      </c>
      <c r="F266" s="49">
        <v>11716.5</v>
      </c>
      <c r="G266" s="39">
        <v>0</v>
      </c>
      <c r="H266" s="39">
        <v>0</v>
      </c>
    </row>
    <row r="267" spans="1:8" ht="76.5">
      <c r="A267" s="7" t="s">
        <v>208</v>
      </c>
      <c r="B267" s="8" t="s">
        <v>135</v>
      </c>
      <c r="C267" s="8" t="s">
        <v>110</v>
      </c>
      <c r="D267" s="8" t="s">
        <v>231</v>
      </c>
      <c r="E267" s="8" t="s">
        <v>209</v>
      </c>
      <c r="F267" s="49">
        <v>7921.4</v>
      </c>
      <c r="G267" s="39">
        <v>0</v>
      </c>
      <c r="H267" s="39">
        <v>0</v>
      </c>
    </row>
    <row r="268" spans="1:8" ht="76.5">
      <c r="A268" s="7" t="s">
        <v>303</v>
      </c>
      <c r="B268" s="8" t="s">
        <v>135</v>
      </c>
      <c r="C268" s="8" t="s">
        <v>110</v>
      </c>
      <c r="D268" s="8" t="s">
        <v>332</v>
      </c>
      <c r="E268" s="8" t="s">
        <v>302</v>
      </c>
      <c r="F268" s="49">
        <f>562.899-562.899</f>
        <v>0</v>
      </c>
      <c r="G268" s="39"/>
      <c r="H268" s="39"/>
    </row>
    <row r="269" spans="1:8" ht="18.75" customHeight="1">
      <c r="A269" s="7" t="s">
        <v>232</v>
      </c>
      <c r="B269" s="8" t="s">
        <v>135</v>
      </c>
      <c r="C269" s="8" t="s">
        <v>110</v>
      </c>
      <c r="D269" s="8" t="s">
        <v>675</v>
      </c>
      <c r="E269" s="8" t="s">
        <v>98</v>
      </c>
      <c r="F269" s="49">
        <f aca="true" t="shared" si="13" ref="F269:H271">F270</f>
        <v>0</v>
      </c>
      <c r="G269" s="39">
        <f t="shared" si="13"/>
        <v>3637</v>
      </c>
      <c r="H269" s="39">
        <f t="shared" si="13"/>
        <v>0</v>
      </c>
    </row>
    <row r="270" spans="1:8" ht="69.75" customHeight="1">
      <c r="A270" s="7" t="s">
        <v>262</v>
      </c>
      <c r="B270" s="8" t="s">
        <v>135</v>
      </c>
      <c r="C270" s="8" t="s">
        <v>110</v>
      </c>
      <c r="D270" s="8" t="s">
        <v>682</v>
      </c>
      <c r="E270" s="8" t="s">
        <v>98</v>
      </c>
      <c r="F270" s="49">
        <f t="shared" si="13"/>
        <v>0</v>
      </c>
      <c r="G270" s="39">
        <f t="shared" si="13"/>
        <v>3637</v>
      </c>
      <c r="H270" s="39">
        <f t="shared" si="13"/>
        <v>0</v>
      </c>
    </row>
    <row r="271" spans="1:8" ht="30" customHeight="1">
      <c r="A271" s="7" t="s">
        <v>282</v>
      </c>
      <c r="B271" s="8" t="s">
        <v>135</v>
      </c>
      <c r="C271" s="8" t="s">
        <v>110</v>
      </c>
      <c r="D271" s="8" t="s">
        <v>283</v>
      </c>
      <c r="E271" s="8" t="s">
        <v>98</v>
      </c>
      <c r="F271" s="49">
        <f t="shared" si="13"/>
        <v>0</v>
      </c>
      <c r="G271" s="39">
        <f t="shared" si="13"/>
        <v>3637</v>
      </c>
      <c r="H271" s="39">
        <f t="shared" si="13"/>
        <v>0</v>
      </c>
    </row>
    <row r="272" spans="1:8" ht="80.25" customHeight="1">
      <c r="A272" s="7" t="s">
        <v>208</v>
      </c>
      <c r="B272" s="8" t="s">
        <v>135</v>
      </c>
      <c r="C272" s="8" t="s">
        <v>110</v>
      </c>
      <c r="D272" s="8" t="s">
        <v>283</v>
      </c>
      <c r="E272" s="8" t="s">
        <v>209</v>
      </c>
      <c r="F272" s="49">
        <f>1700-1700</f>
        <v>0</v>
      </c>
      <c r="G272" s="39">
        <v>3637</v>
      </c>
      <c r="H272" s="39">
        <v>0</v>
      </c>
    </row>
    <row r="273" spans="1:8" ht="20.25" customHeight="1">
      <c r="A273" s="7" t="s">
        <v>261</v>
      </c>
      <c r="B273" s="8" t="s">
        <v>135</v>
      </c>
      <c r="C273" s="8" t="s">
        <v>110</v>
      </c>
      <c r="D273" s="8" t="s">
        <v>683</v>
      </c>
      <c r="E273" s="8" t="s">
        <v>98</v>
      </c>
      <c r="F273" s="49">
        <f>F274+F278+F281+F285+F288+F291</f>
        <v>57078.937000000005</v>
      </c>
      <c r="G273" s="39">
        <f>G274+G278+G281+G285+G288+G291</f>
        <v>189000</v>
      </c>
      <c r="H273" s="39">
        <f>H274+H278+H281+H285+H288+H291</f>
        <v>226000</v>
      </c>
    </row>
    <row r="274" spans="1:8" ht="54" customHeight="1">
      <c r="A274" s="7" t="s">
        <v>286</v>
      </c>
      <c r="B274" s="8" t="s">
        <v>135</v>
      </c>
      <c r="C274" s="8" t="s">
        <v>110</v>
      </c>
      <c r="D274" s="8" t="s">
        <v>287</v>
      </c>
      <c r="E274" s="8" t="s">
        <v>98</v>
      </c>
      <c r="F274" s="49">
        <f>F275+F276</f>
        <v>2266</v>
      </c>
      <c r="G274" s="39">
        <f>G275+G276</f>
        <v>0</v>
      </c>
      <c r="H274" s="39">
        <f>H275+H276</f>
        <v>0</v>
      </c>
    </row>
    <row r="275" spans="1:8" ht="31.5" customHeight="1">
      <c r="A275" s="7" t="s">
        <v>115</v>
      </c>
      <c r="B275" s="8" t="s">
        <v>135</v>
      </c>
      <c r="C275" s="8" t="s">
        <v>110</v>
      </c>
      <c r="D275" s="8" t="s">
        <v>287</v>
      </c>
      <c r="E275" s="8" t="s">
        <v>116</v>
      </c>
      <c r="F275" s="49">
        <f>18285+7007-25292</f>
        <v>0</v>
      </c>
      <c r="G275" s="39">
        <v>0</v>
      </c>
      <c r="H275" s="39">
        <v>0</v>
      </c>
    </row>
    <row r="276" spans="1:8" ht="82.5" customHeight="1">
      <c r="A276" s="7" t="s">
        <v>208</v>
      </c>
      <c r="B276" s="8" t="s">
        <v>135</v>
      </c>
      <c r="C276" s="8" t="s">
        <v>110</v>
      </c>
      <c r="D276" s="8" t="s">
        <v>287</v>
      </c>
      <c r="E276" s="8" t="s">
        <v>209</v>
      </c>
      <c r="F276" s="49">
        <f>F277</f>
        <v>2266</v>
      </c>
      <c r="G276" s="39">
        <f>G277</f>
        <v>0</v>
      </c>
      <c r="H276" s="39">
        <f>H277</f>
        <v>0</v>
      </c>
    </row>
    <row r="277" spans="1:8" ht="46.5" customHeight="1">
      <c r="A277" s="7" t="s">
        <v>172</v>
      </c>
      <c r="B277" s="8" t="s">
        <v>135</v>
      </c>
      <c r="C277" s="8" t="s">
        <v>110</v>
      </c>
      <c r="D277" s="8" t="s">
        <v>287</v>
      </c>
      <c r="E277" s="8" t="s">
        <v>209</v>
      </c>
      <c r="F277" s="49">
        <f>70068-30000+11000+2190.5+500-11000+7400.5+3058-5000+79+4646-176-15792-34708</f>
        <v>2266</v>
      </c>
      <c r="G277" s="39">
        <v>0</v>
      </c>
      <c r="H277" s="39">
        <v>0</v>
      </c>
    </row>
    <row r="278" spans="1:8" ht="18.75" customHeight="1">
      <c r="A278" s="7" t="s">
        <v>309</v>
      </c>
      <c r="B278" s="8" t="s">
        <v>135</v>
      </c>
      <c r="C278" s="8" t="s">
        <v>110</v>
      </c>
      <c r="D278" s="8" t="s">
        <v>310</v>
      </c>
      <c r="E278" s="8" t="s">
        <v>98</v>
      </c>
      <c r="F278" s="49">
        <f>F279+F280</f>
        <v>22708</v>
      </c>
      <c r="G278" s="39">
        <f>G279</f>
        <v>50000</v>
      </c>
      <c r="H278" s="39">
        <f>H279</f>
        <v>60000</v>
      </c>
    </row>
    <row r="279" spans="1:8" ht="83.25" customHeight="1">
      <c r="A279" s="7" t="s">
        <v>208</v>
      </c>
      <c r="B279" s="8" t="s">
        <v>135</v>
      </c>
      <c r="C279" s="8" t="s">
        <v>110</v>
      </c>
      <c r="D279" s="8" t="s">
        <v>310</v>
      </c>
      <c r="E279" s="8" t="s">
        <v>209</v>
      </c>
      <c r="F279" s="49">
        <v>22152.3</v>
      </c>
      <c r="G279" s="39">
        <v>50000</v>
      </c>
      <c r="H279" s="39">
        <v>60000</v>
      </c>
    </row>
    <row r="280" spans="1:8" ht="83.25" customHeight="1">
      <c r="A280" s="7" t="s">
        <v>306</v>
      </c>
      <c r="B280" s="8" t="s">
        <v>135</v>
      </c>
      <c r="C280" s="8" t="s">
        <v>110</v>
      </c>
      <c r="D280" s="8" t="s">
        <v>310</v>
      </c>
      <c r="E280" s="8" t="s">
        <v>302</v>
      </c>
      <c r="F280" s="49">
        <v>555.7</v>
      </c>
      <c r="G280" s="39"/>
      <c r="H280" s="39"/>
    </row>
    <row r="281" spans="1:8" ht="19.5" customHeight="1">
      <c r="A281" s="7" t="s">
        <v>311</v>
      </c>
      <c r="B281" s="8" t="s">
        <v>135</v>
      </c>
      <c r="C281" s="8" t="s">
        <v>110</v>
      </c>
      <c r="D281" s="8" t="s">
        <v>312</v>
      </c>
      <c r="E281" s="8" t="s">
        <v>98</v>
      </c>
      <c r="F281" s="49">
        <f>F282+F283+F284</f>
        <v>0.037000000000261934</v>
      </c>
      <c r="G281" s="39">
        <f>G283</f>
        <v>90000</v>
      </c>
      <c r="H281" s="39">
        <f>H283</f>
        <v>95000</v>
      </c>
    </row>
    <row r="282" spans="1:8" ht="32.25" customHeight="1">
      <c r="A282" s="7" t="s">
        <v>115</v>
      </c>
      <c r="B282" s="8" t="s">
        <v>135</v>
      </c>
      <c r="C282" s="8" t="s">
        <v>110</v>
      </c>
      <c r="D282" s="8" t="s">
        <v>312</v>
      </c>
      <c r="E282" s="8" t="s">
        <v>116</v>
      </c>
      <c r="F282" s="49">
        <f>106.3765+5000+176.3305+5949.03+204.9-11436.637</f>
        <v>0</v>
      </c>
      <c r="G282" s="39"/>
      <c r="H282" s="39"/>
    </row>
    <row r="283" spans="1:8" ht="79.5" customHeight="1">
      <c r="A283" s="7" t="s">
        <v>208</v>
      </c>
      <c r="B283" s="8" t="s">
        <v>135</v>
      </c>
      <c r="C283" s="8" t="s">
        <v>110</v>
      </c>
      <c r="D283" s="8" t="s">
        <v>312</v>
      </c>
      <c r="E283" s="8" t="s">
        <v>209</v>
      </c>
      <c r="F283" s="49">
        <f>80000+349.036-96.01-700-5000-2000-14795.09-57757.9</f>
        <v>0.03600000000005821</v>
      </c>
      <c r="G283" s="39">
        <v>90000</v>
      </c>
      <c r="H283" s="39">
        <v>95000</v>
      </c>
    </row>
    <row r="284" spans="1:8" ht="81.75" customHeight="1">
      <c r="A284" s="7" t="s">
        <v>306</v>
      </c>
      <c r="B284" s="8" t="s">
        <v>135</v>
      </c>
      <c r="C284" s="8" t="s">
        <v>110</v>
      </c>
      <c r="D284" s="8" t="s">
        <v>312</v>
      </c>
      <c r="E284" s="8" t="s">
        <v>302</v>
      </c>
      <c r="F284" s="49">
        <f>2000+11982.49-13982.489</f>
        <v>0.0010000000002037268</v>
      </c>
      <c r="G284" s="39"/>
      <c r="H284" s="39"/>
    </row>
    <row r="285" spans="1:8" ht="16.5" customHeight="1">
      <c r="A285" s="7" t="s">
        <v>313</v>
      </c>
      <c r="B285" s="8" t="s">
        <v>135</v>
      </c>
      <c r="C285" s="8" t="s">
        <v>110</v>
      </c>
      <c r="D285" s="8" t="s">
        <v>314</v>
      </c>
      <c r="E285" s="8" t="s">
        <v>98</v>
      </c>
      <c r="F285" s="49">
        <f>F286+F287</f>
        <v>22227.600000000002</v>
      </c>
      <c r="G285" s="39">
        <f>G286</f>
        <v>30000</v>
      </c>
      <c r="H285" s="39">
        <f>H286</f>
        <v>40000</v>
      </c>
    </row>
    <row r="286" spans="1:8" ht="81" customHeight="1">
      <c r="A286" s="7" t="s">
        <v>208</v>
      </c>
      <c r="B286" s="8" t="s">
        <v>135</v>
      </c>
      <c r="C286" s="8" t="s">
        <v>110</v>
      </c>
      <c r="D286" s="8" t="s">
        <v>314</v>
      </c>
      <c r="E286" s="8" t="s">
        <v>209</v>
      </c>
      <c r="F286" s="49">
        <v>18345.2</v>
      </c>
      <c r="G286" s="39">
        <v>30000</v>
      </c>
      <c r="H286" s="39">
        <v>40000</v>
      </c>
    </row>
    <row r="287" spans="1:8" ht="81.75" customHeight="1">
      <c r="A287" s="7" t="s">
        <v>303</v>
      </c>
      <c r="B287" s="8" t="s">
        <v>135</v>
      </c>
      <c r="C287" s="8" t="s">
        <v>110</v>
      </c>
      <c r="D287" s="8" t="s">
        <v>314</v>
      </c>
      <c r="E287" s="8" t="s">
        <v>302</v>
      </c>
      <c r="F287" s="49">
        <v>3882.4</v>
      </c>
      <c r="G287" s="39"/>
      <c r="H287" s="39"/>
    </row>
    <row r="288" spans="1:8" ht="33" customHeight="1">
      <c r="A288" s="7" t="s">
        <v>315</v>
      </c>
      <c r="B288" s="8" t="s">
        <v>135</v>
      </c>
      <c r="C288" s="8" t="s">
        <v>110</v>
      </c>
      <c r="D288" s="8" t="s">
        <v>316</v>
      </c>
      <c r="E288" s="8" t="s">
        <v>98</v>
      </c>
      <c r="F288" s="49">
        <f>F289+F290</f>
        <v>1937</v>
      </c>
      <c r="G288" s="39">
        <f>G289</f>
        <v>10000</v>
      </c>
      <c r="H288" s="39">
        <f>H289</f>
        <v>16000</v>
      </c>
    </row>
    <row r="289" spans="1:8" ht="80.25" customHeight="1">
      <c r="A289" s="7" t="s">
        <v>208</v>
      </c>
      <c r="B289" s="8" t="s">
        <v>135</v>
      </c>
      <c r="C289" s="8" t="s">
        <v>110</v>
      </c>
      <c r="D289" s="8" t="s">
        <v>316</v>
      </c>
      <c r="E289" s="8" t="s">
        <v>209</v>
      </c>
      <c r="F289" s="49">
        <v>1690.5</v>
      </c>
      <c r="G289" s="39">
        <v>10000</v>
      </c>
      <c r="H289" s="39">
        <v>16000</v>
      </c>
    </row>
    <row r="290" spans="1:8" ht="81.75" customHeight="1">
      <c r="A290" s="7" t="s">
        <v>306</v>
      </c>
      <c r="B290" s="8" t="s">
        <v>135</v>
      </c>
      <c r="C290" s="8" t="s">
        <v>110</v>
      </c>
      <c r="D290" s="8" t="s">
        <v>316</v>
      </c>
      <c r="E290" s="8" t="s">
        <v>302</v>
      </c>
      <c r="F290" s="49">
        <v>246.5</v>
      </c>
      <c r="G290" s="39"/>
      <c r="H290" s="39"/>
    </row>
    <row r="291" spans="1:8" ht="49.5" customHeight="1">
      <c r="A291" s="7" t="s">
        <v>317</v>
      </c>
      <c r="B291" s="8" t="s">
        <v>135</v>
      </c>
      <c r="C291" s="8" t="s">
        <v>110</v>
      </c>
      <c r="D291" s="8" t="s">
        <v>318</v>
      </c>
      <c r="E291" s="8" t="s">
        <v>98</v>
      </c>
      <c r="F291" s="49">
        <f>F293+F295+F294+F292</f>
        <v>7940.3</v>
      </c>
      <c r="G291" s="39">
        <f>G293</f>
        <v>9000</v>
      </c>
      <c r="H291" s="39">
        <f>H293</f>
        <v>15000</v>
      </c>
    </row>
    <row r="292" spans="1:8" ht="29.25" customHeight="1">
      <c r="A292" s="7" t="s">
        <v>115</v>
      </c>
      <c r="B292" s="8" t="s">
        <v>135</v>
      </c>
      <c r="C292" s="8" t="s">
        <v>110</v>
      </c>
      <c r="D292" s="8" t="s">
        <v>411</v>
      </c>
      <c r="E292" s="8" t="s">
        <v>116</v>
      </c>
      <c r="F292" s="49">
        <v>1038.3</v>
      </c>
      <c r="G292" s="39"/>
      <c r="H292" s="39"/>
    </row>
    <row r="293" spans="1:8" ht="76.5">
      <c r="A293" s="7" t="s">
        <v>208</v>
      </c>
      <c r="B293" s="8" t="s">
        <v>135</v>
      </c>
      <c r="C293" s="8" t="s">
        <v>110</v>
      </c>
      <c r="D293" s="8" t="s">
        <v>318</v>
      </c>
      <c r="E293" s="8" t="s">
        <v>209</v>
      </c>
      <c r="F293" s="49">
        <v>6102</v>
      </c>
      <c r="G293" s="39">
        <v>9000</v>
      </c>
      <c r="H293" s="39">
        <v>15000</v>
      </c>
    </row>
    <row r="294" spans="1:8" ht="78" customHeight="1">
      <c r="A294" s="18" t="s">
        <v>306</v>
      </c>
      <c r="B294" s="13" t="s">
        <v>135</v>
      </c>
      <c r="C294" s="13" t="s">
        <v>110</v>
      </c>
      <c r="D294" s="13" t="s">
        <v>411</v>
      </c>
      <c r="E294" s="13" t="s">
        <v>302</v>
      </c>
      <c r="F294" s="49">
        <v>800</v>
      </c>
      <c r="G294" s="48"/>
      <c r="H294" s="48"/>
    </row>
    <row r="295" spans="1:8" ht="30" customHeight="1" hidden="1">
      <c r="A295" s="7"/>
      <c r="B295" s="8"/>
      <c r="C295" s="8"/>
      <c r="D295" s="8"/>
      <c r="E295" s="8"/>
      <c r="F295" s="49"/>
      <c r="G295" s="39"/>
      <c r="H295" s="39"/>
    </row>
    <row r="296" spans="1:8" ht="21" customHeight="1">
      <c r="A296" s="7" t="s">
        <v>673</v>
      </c>
      <c r="B296" s="8" t="s">
        <v>135</v>
      </c>
      <c r="C296" s="8" t="s">
        <v>110</v>
      </c>
      <c r="D296" s="8" t="s">
        <v>672</v>
      </c>
      <c r="E296" s="8" t="s">
        <v>98</v>
      </c>
      <c r="F296" s="49">
        <f>F297+F299+F300</f>
        <v>9966.1</v>
      </c>
      <c r="G296" s="39">
        <f>G297</f>
        <v>3414</v>
      </c>
      <c r="H296" s="39">
        <f>H297</f>
        <v>3414</v>
      </c>
    </row>
    <row r="297" spans="1:8" ht="27.75" customHeight="1">
      <c r="A297" s="7" t="s">
        <v>237</v>
      </c>
      <c r="B297" s="8" t="s">
        <v>135</v>
      </c>
      <c r="C297" s="8" t="s">
        <v>110</v>
      </c>
      <c r="D297" s="8" t="s">
        <v>238</v>
      </c>
      <c r="E297" s="8" t="s">
        <v>98</v>
      </c>
      <c r="F297" s="49">
        <f>F298</f>
        <v>5067</v>
      </c>
      <c r="G297" s="39">
        <f>G298</f>
        <v>3414</v>
      </c>
      <c r="H297" s="39">
        <f>H298</f>
        <v>3414</v>
      </c>
    </row>
    <row r="298" spans="1:8" ht="81" customHeight="1">
      <c r="A298" s="7" t="s">
        <v>208</v>
      </c>
      <c r="B298" s="8" t="s">
        <v>135</v>
      </c>
      <c r="C298" s="8" t="s">
        <v>110</v>
      </c>
      <c r="D298" s="8" t="s">
        <v>238</v>
      </c>
      <c r="E298" s="8" t="s">
        <v>209</v>
      </c>
      <c r="F298" s="49">
        <v>5067</v>
      </c>
      <c r="G298" s="39">
        <v>3414</v>
      </c>
      <c r="H298" s="39">
        <v>3414</v>
      </c>
    </row>
    <row r="299" spans="1:8" ht="18.75" customHeight="1">
      <c r="A299" s="7" t="s">
        <v>500</v>
      </c>
      <c r="B299" s="8" t="s">
        <v>135</v>
      </c>
      <c r="C299" s="8" t="s">
        <v>110</v>
      </c>
      <c r="D299" s="8" t="s">
        <v>501</v>
      </c>
      <c r="E299" s="8" t="s">
        <v>209</v>
      </c>
      <c r="F299" s="49">
        <v>99.1</v>
      </c>
      <c r="G299" s="39"/>
      <c r="H299" s="39"/>
    </row>
    <row r="300" spans="1:8" ht="81" customHeight="1">
      <c r="A300" s="7" t="s">
        <v>208</v>
      </c>
      <c r="B300" s="8" t="s">
        <v>135</v>
      </c>
      <c r="C300" s="8" t="s">
        <v>110</v>
      </c>
      <c r="D300" s="8" t="s">
        <v>64</v>
      </c>
      <c r="E300" s="8" t="s">
        <v>209</v>
      </c>
      <c r="F300" s="49">
        <v>4800</v>
      </c>
      <c r="G300" s="39"/>
      <c r="H300" s="39"/>
    </row>
    <row r="301" spans="1:8" ht="29.25" customHeight="1">
      <c r="A301" s="7" t="s">
        <v>319</v>
      </c>
      <c r="B301" s="8" t="s">
        <v>135</v>
      </c>
      <c r="C301" s="8" t="s">
        <v>135</v>
      </c>
      <c r="D301" s="8" t="s">
        <v>99</v>
      </c>
      <c r="E301" s="8" t="s">
        <v>98</v>
      </c>
      <c r="F301" s="49">
        <f>F302</f>
        <v>17100</v>
      </c>
      <c r="G301" s="39">
        <v>0</v>
      </c>
      <c r="H301" s="39">
        <v>0</v>
      </c>
    </row>
    <row r="302" spans="1:8" ht="78" customHeight="1">
      <c r="A302" s="7" t="s">
        <v>320</v>
      </c>
      <c r="B302" s="8" t="s">
        <v>135</v>
      </c>
      <c r="C302" s="8" t="s">
        <v>135</v>
      </c>
      <c r="D302" s="8" t="s">
        <v>321</v>
      </c>
      <c r="E302" s="8" t="s">
        <v>98</v>
      </c>
      <c r="F302" s="49">
        <f>F303</f>
        <v>17100</v>
      </c>
      <c r="G302" s="39">
        <f>G303</f>
        <v>0</v>
      </c>
      <c r="H302" s="39">
        <f>H303</f>
        <v>0</v>
      </c>
    </row>
    <row r="303" spans="1:8" ht="75" customHeight="1">
      <c r="A303" s="7" t="s">
        <v>208</v>
      </c>
      <c r="B303" s="8" t="s">
        <v>135</v>
      </c>
      <c r="C303" s="8" t="s">
        <v>135</v>
      </c>
      <c r="D303" s="8" t="s">
        <v>321</v>
      </c>
      <c r="E303" s="8" t="s">
        <v>209</v>
      </c>
      <c r="F303" s="49">
        <v>17100</v>
      </c>
      <c r="G303" s="39">
        <v>0</v>
      </c>
      <c r="H303" s="39">
        <v>0</v>
      </c>
    </row>
    <row r="304" spans="1:8" ht="18.75" customHeight="1">
      <c r="A304" s="7" t="s">
        <v>322</v>
      </c>
      <c r="B304" s="16" t="s">
        <v>138</v>
      </c>
      <c r="C304" s="16" t="s">
        <v>98</v>
      </c>
      <c r="D304" s="16" t="s">
        <v>99</v>
      </c>
      <c r="E304" s="16" t="s">
        <v>98</v>
      </c>
      <c r="F304" s="67">
        <f>F305+F340+F424+F428+F462</f>
        <v>1398752.04087</v>
      </c>
      <c r="G304" s="43">
        <f>G305+G340+G424+G428+G462</f>
        <v>1189448.2999999998</v>
      </c>
      <c r="H304" s="43">
        <f>H305+H340+H424+H428+H462</f>
        <v>1194651.0999999999</v>
      </c>
    </row>
    <row r="305" spans="1:8" ht="17.25" customHeight="1">
      <c r="A305" s="7" t="s">
        <v>323</v>
      </c>
      <c r="B305" s="8" t="s">
        <v>138</v>
      </c>
      <c r="C305" s="8" t="s">
        <v>102</v>
      </c>
      <c r="D305" s="8"/>
      <c r="E305" s="8" t="s">
        <v>98</v>
      </c>
      <c r="F305" s="49">
        <f>F306+F319+F336+F331</f>
        <v>485788.19986999995</v>
      </c>
      <c r="G305" s="39">
        <f>G306+G319+G336</f>
        <v>334183</v>
      </c>
      <c r="H305" s="39">
        <f>H306+H319+H336</f>
        <v>314986.5</v>
      </c>
    </row>
    <row r="306" spans="1:8" ht="21.75" customHeight="1">
      <c r="A306" s="7" t="s">
        <v>335</v>
      </c>
      <c r="B306" s="8" t="s">
        <v>138</v>
      </c>
      <c r="C306" s="8" t="s">
        <v>102</v>
      </c>
      <c r="D306" s="8" t="s">
        <v>684</v>
      </c>
      <c r="E306" s="8" t="s">
        <v>98</v>
      </c>
      <c r="F306" s="49">
        <f>F307</f>
        <v>359320.69999999995</v>
      </c>
      <c r="G306" s="39">
        <f>G307</f>
        <v>302484</v>
      </c>
      <c r="H306" s="39">
        <f>H307</f>
        <v>283287.5</v>
      </c>
    </row>
    <row r="307" spans="1:8" ht="36.75" customHeight="1">
      <c r="A307" s="7" t="s">
        <v>175</v>
      </c>
      <c r="B307" s="8" t="s">
        <v>138</v>
      </c>
      <c r="C307" s="8" t="s">
        <v>102</v>
      </c>
      <c r="D307" s="8" t="s">
        <v>685</v>
      </c>
      <c r="E307" s="8" t="s">
        <v>98</v>
      </c>
      <c r="F307" s="49">
        <f>F308+F311+F315+F317</f>
        <v>359320.69999999995</v>
      </c>
      <c r="G307" s="39">
        <f>G308+G311+G315+G317</f>
        <v>302484</v>
      </c>
      <c r="H307" s="39">
        <f>H308+H311+H315+H317</f>
        <v>283287.5</v>
      </c>
    </row>
    <row r="308" spans="1:8" ht="80.25" customHeight="1">
      <c r="A308" s="7" t="s">
        <v>336</v>
      </c>
      <c r="B308" s="8" t="s">
        <v>138</v>
      </c>
      <c r="C308" s="8" t="s">
        <v>102</v>
      </c>
      <c r="D308" s="8" t="s">
        <v>337</v>
      </c>
      <c r="E308" s="8" t="s">
        <v>98</v>
      </c>
      <c r="F308" s="48">
        <f>F310+F309</f>
        <v>973</v>
      </c>
      <c r="G308" s="39">
        <f>G310</f>
        <v>850</v>
      </c>
      <c r="H308" s="39">
        <f>H310</f>
        <v>850</v>
      </c>
    </row>
    <row r="309" spans="1:8" ht="80.25" customHeight="1">
      <c r="A309" s="7" t="s">
        <v>208</v>
      </c>
      <c r="B309" s="8" t="s">
        <v>138</v>
      </c>
      <c r="C309" s="8" t="s">
        <v>102</v>
      </c>
      <c r="D309" s="8" t="s">
        <v>337</v>
      </c>
      <c r="E309" s="8" t="s">
        <v>209</v>
      </c>
      <c r="F309" s="49">
        <f>123+178.6+671.4</f>
        <v>973</v>
      </c>
      <c r="G309" s="39"/>
      <c r="H309" s="39"/>
    </row>
    <row r="310" spans="1:8" ht="33" customHeight="1">
      <c r="A310" s="7" t="s">
        <v>170</v>
      </c>
      <c r="B310" s="8" t="s">
        <v>138</v>
      </c>
      <c r="C310" s="8" t="s">
        <v>102</v>
      </c>
      <c r="D310" s="8" t="s">
        <v>337</v>
      </c>
      <c r="E310" s="8" t="s">
        <v>171</v>
      </c>
      <c r="F310" s="49">
        <f>850-178.6-671.4</f>
        <v>0</v>
      </c>
      <c r="G310" s="39">
        <v>850</v>
      </c>
      <c r="H310" s="39">
        <v>850</v>
      </c>
    </row>
    <row r="311" spans="1:8" ht="54.75" customHeight="1">
      <c r="A311" s="7" t="s">
        <v>338</v>
      </c>
      <c r="B311" s="8" t="s">
        <v>138</v>
      </c>
      <c r="C311" s="8" t="s">
        <v>102</v>
      </c>
      <c r="D311" s="8" t="s">
        <v>339</v>
      </c>
      <c r="E311" s="8" t="s">
        <v>98</v>
      </c>
      <c r="F311" s="48">
        <f>F312+F313+F314</f>
        <v>344347.69999999995</v>
      </c>
      <c r="G311" s="39">
        <f>G312+G313</f>
        <v>287634</v>
      </c>
      <c r="H311" s="39">
        <f>H312+H313</f>
        <v>268437.5</v>
      </c>
    </row>
    <row r="312" spans="1:8" ht="84" customHeight="1">
      <c r="A312" s="7" t="s">
        <v>208</v>
      </c>
      <c r="B312" s="8" t="s">
        <v>138</v>
      </c>
      <c r="C312" s="8" t="s">
        <v>102</v>
      </c>
      <c r="D312" s="8" t="s">
        <v>339</v>
      </c>
      <c r="E312" s="8" t="s">
        <v>209</v>
      </c>
      <c r="F312" s="49">
        <f>319939-799.3-100+31.5-1264+1000+2902.6+5333.6+11600.6</f>
        <v>338643.99999999994</v>
      </c>
      <c r="G312" s="39">
        <f>333084-45450</f>
        <v>287634</v>
      </c>
      <c r="H312" s="39">
        <f>340037.5-71600</f>
        <v>268437.5</v>
      </c>
    </row>
    <row r="313" spans="1:8" ht="30" customHeight="1">
      <c r="A313" s="7" t="s">
        <v>170</v>
      </c>
      <c r="B313" s="8" t="s">
        <v>138</v>
      </c>
      <c r="C313" s="8" t="s">
        <v>102</v>
      </c>
      <c r="D313" s="8" t="s">
        <v>339</v>
      </c>
      <c r="E313" s="8" t="s">
        <v>171</v>
      </c>
      <c r="F313" s="49">
        <f>30904.8-14000-11417.6</f>
        <v>5487.199999999999</v>
      </c>
      <c r="G313" s="39">
        <v>0</v>
      </c>
      <c r="H313" s="39">
        <v>0</v>
      </c>
    </row>
    <row r="314" spans="1:8" ht="84" customHeight="1">
      <c r="A314" s="7" t="s">
        <v>306</v>
      </c>
      <c r="B314" s="8" t="s">
        <v>138</v>
      </c>
      <c r="C314" s="8" t="s">
        <v>102</v>
      </c>
      <c r="D314" s="8" t="s">
        <v>339</v>
      </c>
      <c r="E314" s="8" t="s">
        <v>302</v>
      </c>
      <c r="F314" s="49">
        <f>297+4.4-84.9</f>
        <v>216.49999999999997</v>
      </c>
      <c r="G314" s="39"/>
      <c r="H314" s="39"/>
    </row>
    <row r="315" spans="1:8" ht="44.25" customHeight="1">
      <c r="A315" s="7" t="s">
        <v>340</v>
      </c>
      <c r="B315" s="8" t="s">
        <v>138</v>
      </c>
      <c r="C315" s="8" t="s">
        <v>102</v>
      </c>
      <c r="D315" s="8" t="s">
        <v>341</v>
      </c>
      <c r="E315" s="8" t="s">
        <v>98</v>
      </c>
      <c r="F315" s="49">
        <f>F316</f>
        <v>0</v>
      </c>
      <c r="G315" s="39">
        <f>G316</f>
        <v>0</v>
      </c>
      <c r="H315" s="39">
        <f>H316</f>
        <v>0</v>
      </c>
    </row>
    <row r="316" spans="1:8" ht="27" customHeight="1">
      <c r="A316" s="7" t="s">
        <v>170</v>
      </c>
      <c r="B316" s="8" t="s">
        <v>138</v>
      </c>
      <c r="C316" s="8" t="s">
        <v>102</v>
      </c>
      <c r="D316" s="8" t="s">
        <v>341</v>
      </c>
      <c r="E316" s="8" t="s">
        <v>171</v>
      </c>
      <c r="F316" s="49">
        <f>43000-11000-21000-2766-500-7734</f>
        <v>0</v>
      </c>
      <c r="G316" s="39">
        <v>0</v>
      </c>
      <c r="H316" s="39">
        <v>0</v>
      </c>
    </row>
    <row r="317" spans="1:8" ht="33" customHeight="1">
      <c r="A317" s="7" t="s">
        <v>46</v>
      </c>
      <c r="B317" s="8" t="s">
        <v>138</v>
      </c>
      <c r="C317" s="8" t="s">
        <v>102</v>
      </c>
      <c r="D317" s="8" t="s">
        <v>342</v>
      </c>
      <c r="E317" s="8" t="s">
        <v>98</v>
      </c>
      <c r="F317" s="48">
        <f>F318</f>
        <v>14000</v>
      </c>
      <c r="G317" s="39">
        <f>G318</f>
        <v>14000</v>
      </c>
      <c r="H317" s="39">
        <f>H318</f>
        <v>14000</v>
      </c>
    </row>
    <row r="318" spans="1:8" ht="29.25" customHeight="1">
      <c r="A318" s="7" t="s">
        <v>170</v>
      </c>
      <c r="B318" s="8" t="s">
        <v>138</v>
      </c>
      <c r="C318" s="8" t="s">
        <v>102</v>
      </c>
      <c r="D318" s="8" t="s">
        <v>342</v>
      </c>
      <c r="E318" s="8" t="s">
        <v>171</v>
      </c>
      <c r="F318" s="49">
        <v>14000</v>
      </c>
      <c r="G318" s="39">
        <v>14000</v>
      </c>
      <c r="H318" s="39">
        <v>14000</v>
      </c>
    </row>
    <row r="319" spans="1:8" ht="30" customHeight="1">
      <c r="A319" s="7" t="s">
        <v>199</v>
      </c>
      <c r="B319" s="8" t="s">
        <v>138</v>
      </c>
      <c r="C319" s="8" t="s">
        <v>102</v>
      </c>
      <c r="D319" s="8" t="s">
        <v>670</v>
      </c>
      <c r="E319" s="8" t="s">
        <v>98</v>
      </c>
      <c r="F319" s="49">
        <f>F320+F325+F328+F323</f>
        <v>43649</v>
      </c>
      <c r="G319" s="39">
        <f>G320+G325+G328</f>
        <v>31699</v>
      </c>
      <c r="H319" s="39">
        <f>H320+H325+H328</f>
        <v>31699</v>
      </c>
    </row>
    <row r="320" spans="1:8" ht="48.75" customHeight="1">
      <c r="A320" s="7" t="s">
        <v>343</v>
      </c>
      <c r="B320" s="8" t="s">
        <v>138</v>
      </c>
      <c r="C320" s="8" t="s">
        <v>102</v>
      </c>
      <c r="D320" s="8" t="s">
        <v>344</v>
      </c>
      <c r="E320" s="8" t="s">
        <v>98</v>
      </c>
      <c r="F320" s="48">
        <f>F321+F322</f>
        <v>34635</v>
      </c>
      <c r="G320" s="39">
        <f>G322</f>
        <v>26200</v>
      </c>
      <c r="H320" s="39">
        <f>H322</f>
        <v>26200</v>
      </c>
    </row>
    <row r="321" spans="1:8" ht="78" customHeight="1">
      <c r="A321" s="7" t="s">
        <v>208</v>
      </c>
      <c r="B321" s="8" t="s">
        <v>138</v>
      </c>
      <c r="C321" s="8" t="s">
        <v>102</v>
      </c>
      <c r="D321" s="8" t="s">
        <v>344</v>
      </c>
      <c r="E321" s="8" t="s">
        <v>209</v>
      </c>
      <c r="F321" s="49">
        <f>3600+2+26198+4835</f>
        <v>34635</v>
      </c>
      <c r="G321" s="39"/>
      <c r="H321" s="39"/>
    </row>
    <row r="322" spans="1:8" ht="36" customHeight="1">
      <c r="A322" s="7" t="s">
        <v>170</v>
      </c>
      <c r="B322" s="8" t="s">
        <v>138</v>
      </c>
      <c r="C322" s="8" t="s">
        <v>102</v>
      </c>
      <c r="D322" s="8" t="s">
        <v>344</v>
      </c>
      <c r="E322" s="8" t="s">
        <v>171</v>
      </c>
      <c r="F322" s="49">
        <f>26200-2-26198</f>
        <v>0</v>
      </c>
      <c r="G322" s="39">
        <v>26200</v>
      </c>
      <c r="H322" s="39">
        <v>26200</v>
      </c>
    </row>
    <row r="323" spans="1:8" ht="42.75" customHeight="1">
      <c r="A323" s="7" t="s">
        <v>333</v>
      </c>
      <c r="B323" s="8" t="s">
        <v>138</v>
      </c>
      <c r="C323" s="8" t="s">
        <v>102</v>
      </c>
      <c r="D323" s="8" t="s">
        <v>332</v>
      </c>
      <c r="E323" s="8"/>
      <c r="F323" s="49">
        <f>F324</f>
        <v>4033</v>
      </c>
      <c r="G323" s="39"/>
      <c r="H323" s="39"/>
    </row>
    <row r="324" spans="1:8" ht="36" customHeight="1">
      <c r="A324" s="7" t="s">
        <v>170</v>
      </c>
      <c r="B324" s="8" t="s">
        <v>138</v>
      </c>
      <c r="C324" s="8" t="s">
        <v>102</v>
      </c>
      <c r="D324" s="8" t="s">
        <v>332</v>
      </c>
      <c r="E324" s="8" t="s">
        <v>171</v>
      </c>
      <c r="F324" s="49">
        <f>2766+500+767</f>
        <v>4033</v>
      </c>
      <c r="G324" s="39"/>
      <c r="H324" s="39"/>
    </row>
    <row r="325" spans="1:8" ht="239.25" customHeight="1">
      <c r="A325" s="7" t="s">
        <v>346</v>
      </c>
      <c r="B325" s="8" t="s">
        <v>138</v>
      </c>
      <c r="C325" s="8" t="s">
        <v>102</v>
      </c>
      <c r="D325" s="8" t="s">
        <v>347</v>
      </c>
      <c r="E325" s="8" t="s">
        <v>98</v>
      </c>
      <c r="F325" s="49">
        <f>F327+F326</f>
        <v>2731</v>
      </c>
      <c r="G325" s="39">
        <f>G327</f>
        <v>2769</v>
      </c>
      <c r="H325" s="39">
        <f>H327</f>
        <v>2769</v>
      </c>
    </row>
    <row r="326" spans="1:8" ht="91.5" customHeight="1">
      <c r="A326" s="7" t="s">
        <v>208</v>
      </c>
      <c r="B326" s="8" t="s">
        <v>138</v>
      </c>
      <c r="C326" s="8" t="s">
        <v>102</v>
      </c>
      <c r="D326" s="8" t="s">
        <v>347</v>
      </c>
      <c r="E326" s="8" t="s">
        <v>209</v>
      </c>
      <c r="F326" s="49">
        <f>646+2085</f>
        <v>2731</v>
      </c>
      <c r="G326" s="39"/>
      <c r="H326" s="39"/>
    </row>
    <row r="327" spans="1:8" ht="25.5" customHeight="1">
      <c r="A327" s="7" t="s">
        <v>170</v>
      </c>
      <c r="B327" s="8" t="s">
        <v>138</v>
      </c>
      <c r="C327" s="8" t="s">
        <v>102</v>
      </c>
      <c r="D327" s="8" t="s">
        <v>347</v>
      </c>
      <c r="E327" s="8" t="s">
        <v>171</v>
      </c>
      <c r="F327" s="49">
        <f>2769-38-646-2085</f>
        <v>0</v>
      </c>
      <c r="G327" s="39">
        <v>2769</v>
      </c>
      <c r="H327" s="39">
        <v>2769</v>
      </c>
    </row>
    <row r="328" spans="1:8" ht="87.75" customHeight="1">
      <c r="A328" s="7" t="s">
        <v>348</v>
      </c>
      <c r="B328" s="8" t="s">
        <v>138</v>
      </c>
      <c r="C328" s="8" t="s">
        <v>102</v>
      </c>
      <c r="D328" s="8" t="s">
        <v>349</v>
      </c>
      <c r="E328" s="8" t="s">
        <v>98</v>
      </c>
      <c r="F328" s="49">
        <f>F330+F329</f>
        <v>2250</v>
      </c>
      <c r="G328" s="39">
        <f>G330</f>
        <v>2730</v>
      </c>
      <c r="H328" s="39">
        <f>H330</f>
        <v>2730</v>
      </c>
    </row>
    <row r="329" spans="1:8" ht="87.75" customHeight="1">
      <c r="A329" s="7" t="s">
        <v>208</v>
      </c>
      <c r="B329" s="8" t="s">
        <v>138</v>
      </c>
      <c r="C329" s="8" t="s">
        <v>102</v>
      </c>
      <c r="D329" s="8" t="s">
        <v>349</v>
      </c>
      <c r="E329" s="8" t="s">
        <v>209</v>
      </c>
      <c r="F329" s="49">
        <f>475.6+1774.4</f>
        <v>2250</v>
      </c>
      <c r="G329" s="39"/>
      <c r="H329" s="39"/>
    </row>
    <row r="330" spans="1:8" ht="30.75" customHeight="1">
      <c r="A330" s="7" t="s">
        <v>170</v>
      </c>
      <c r="B330" s="8" t="s">
        <v>138</v>
      </c>
      <c r="C330" s="8" t="s">
        <v>102</v>
      </c>
      <c r="D330" s="8" t="s">
        <v>349</v>
      </c>
      <c r="E330" s="8" t="s">
        <v>171</v>
      </c>
      <c r="F330" s="49">
        <f>2730-780+300-475.6-1774.4</f>
        <v>0</v>
      </c>
      <c r="G330" s="39">
        <v>2730</v>
      </c>
      <c r="H330" s="39">
        <v>2730</v>
      </c>
    </row>
    <row r="331" spans="1:8" ht="19.5" customHeight="1">
      <c r="A331" s="78" t="s">
        <v>232</v>
      </c>
      <c r="B331" s="13" t="s">
        <v>138</v>
      </c>
      <c r="C331" s="13" t="s">
        <v>102</v>
      </c>
      <c r="D331" s="13" t="s">
        <v>25</v>
      </c>
      <c r="E331" s="13"/>
      <c r="F331" s="48">
        <f>F333</f>
        <v>70578.5</v>
      </c>
      <c r="G331" s="48"/>
      <c r="H331" s="48"/>
    </row>
    <row r="332" spans="1:8" ht="56.25" customHeight="1">
      <c r="A332" s="78" t="s">
        <v>637</v>
      </c>
      <c r="B332" s="13" t="s">
        <v>138</v>
      </c>
      <c r="C332" s="13" t="s">
        <v>102</v>
      </c>
      <c r="D332" s="13" t="s">
        <v>638</v>
      </c>
      <c r="E332" s="13"/>
      <c r="F332" s="48">
        <f>F333</f>
        <v>70578.5</v>
      </c>
      <c r="G332" s="48"/>
      <c r="H332" s="48"/>
    </row>
    <row r="333" spans="1:8" ht="36" customHeight="1">
      <c r="A333" s="78" t="s">
        <v>156</v>
      </c>
      <c r="B333" s="13" t="s">
        <v>138</v>
      </c>
      <c r="C333" s="13" t="s">
        <v>102</v>
      </c>
      <c r="D333" s="13" t="s">
        <v>26</v>
      </c>
      <c r="E333" s="13"/>
      <c r="F333" s="48">
        <f>F334+F335</f>
        <v>70578.5</v>
      </c>
      <c r="G333" s="48"/>
      <c r="H333" s="48"/>
    </row>
    <row r="334" spans="1:8" ht="78.75" customHeight="1">
      <c r="A334" s="33" t="s">
        <v>208</v>
      </c>
      <c r="B334" s="8" t="s">
        <v>138</v>
      </c>
      <c r="C334" s="8" t="s">
        <v>102</v>
      </c>
      <c r="D334" s="8" t="s">
        <v>26</v>
      </c>
      <c r="E334" s="8" t="s">
        <v>209</v>
      </c>
      <c r="F334" s="49">
        <v>53111.1</v>
      </c>
      <c r="G334" s="39"/>
      <c r="H334" s="39"/>
    </row>
    <row r="335" spans="1:8" ht="78.75" customHeight="1">
      <c r="A335" s="7" t="s">
        <v>306</v>
      </c>
      <c r="B335" s="8" t="s">
        <v>138</v>
      </c>
      <c r="C335" s="8" t="s">
        <v>102</v>
      </c>
      <c r="D335" s="8" t="s">
        <v>26</v>
      </c>
      <c r="E335" s="8" t="s">
        <v>302</v>
      </c>
      <c r="F335" s="49">
        <v>17467.4</v>
      </c>
      <c r="G335" s="39"/>
      <c r="H335" s="39"/>
    </row>
    <row r="336" spans="1:8" ht="21" customHeight="1">
      <c r="A336" s="7" t="s">
        <v>673</v>
      </c>
      <c r="B336" s="8" t="s">
        <v>138</v>
      </c>
      <c r="C336" s="8" t="s">
        <v>102</v>
      </c>
      <c r="D336" s="8" t="s">
        <v>672</v>
      </c>
      <c r="E336" s="8" t="s">
        <v>98</v>
      </c>
      <c r="F336" s="49">
        <f>F338+F337</f>
        <v>12239.99987</v>
      </c>
      <c r="G336" s="39">
        <f>G338</f>
        <v>0</v>
      </c>
      <c r="H336" s="39">
        <f>H338</f>
        <v>0</v>
      </c>
    </row>
    <row r="337" spans="1:8" ht="68.25" customHeight="1">
      <c r="A337" s="7" t="s">
        <v>202</v>
      </c>
      <c r="B337" s="8" t="s">
        <v>138</v>
      </c>
      <c r="C337" s="8" t="s">
        <v>102</v>
      </c>
      <c r="D337" s="8" t="s">
        <v>64</v>
      </c>
      <c r="E337" s="8" t="s">
        <v>203</v>
      </c>
      <c r="F337" s="49">
        <f>21000-20000-1000</f>
        <v>0</v>
      </c>
      <c r="G337" s="39"/>
      <c r="H337" s="39"/>
    </row>
    <row r="338" spans="1:8" ht="57.75" customHeight="1">
      <c r="A338" s="18" t="s">
        <v>235</v>
      </c>
      <c r="B338" s="13" t="s">
        <v>138</v>
      </c>
      <c r="C338" s="13" t="s">
        <v>102</v>
      </c>
      <c r="D338" s="13" t="s">
        <v>236</v>
      </c>
      <c r="E338" s="13" t="s">
        <v>98</v>
      </c>
      <c r="F338" s="48">
        <f>F339</f>
        <v>12239.99987</v>
      </c>
      <c r="G338" s="48">
        <f>G339</f>
        <v>0</v>
      </c>
      <c r="H338" s="48">
        <f>H339</f>
        <v>0</v>
      </c>
    </row>
    <row r="339" spans="1:8" ht="67.5" customHeight="1">
      <c r="A339" s="7" t="s">
        <v>202</v>
      </c>
      <c r="B339" s="8" t="s">
        <v>138</v>
      </c>
      <c r="C339" s="8" t="s">
        <v>102</v>
      </c>
      <c r="D339" s="8" t="s">
        <v>236</v>
      </c>
      <c r="E339" s="8" t="s">
        <v>209</v>
      </c>
      <c r="F339" s="49">
        <f>9750+490+100-5000-100+1560.67587+5439.324</f>
        <v>12239.99987</v>
      </c>
      <c r="G339" s="39">
        <v>0</v>
      </c>
      <c r="H339" s="39">
        <v>0</v>
      </c>
    </row>
    <row r="340" spans="1:8" ht="27.75" customHeight="1">
      <c r="A340" s="7" t="s">
        <v>350</v>
      </c>
      <c r="B340" s="8" t="s">
        <v>138</v>
      </c>
      <c r="C340" s="8" t="s">
        <v>104</v>
      </c>
      <c r="D340" s="8"/>
      <c r="E340" s="8" t="s">
        <v>98</v>
      </c>
      <c r="F340" s="48">
        <f>F341+F352+F371+F378+F391+F397+F412+F394+F420+F422</f>
        <v>765097.496</v>
      </c>
      <c r="G340" s="39">
        <f>G341+G352+G371+G378+G391+G397+G412</f>
        <v>722211.0999999999</v>
      </c>
      <c r="H340" s="39">
        <f>H341+H352+H371+H378+H391+H397+H412</f>
        <v>743604.0999999999</v>
      </c>
    </row>
    <row r="341" spans="1:8" ht="35.25" customHeight="1">
      <c r="A341" s="7" t="s">
        <v>351</v>
      </c>
      <c r="B341" s="8" t="s">
        <v>138</v>
      </c>
      <c r="C341" s="8" t="s">
        <v>104</v>
      </c>
      <c r="D341" s="8" t="s">
        <v>686</v>
      </c>
      <c r="E341" s="8" t="s">
        <v>98</v>
      </c>
      <c r="F341" s="48">
        <f>F342</f>
        <v>483106.8</v>
      </c>
      <c r="G341" s="39">
        <f>G342</f>
        <v>490677.6</v>
      </c>
      <c r="H341" s="39">
        <f>H342</f>
        <v>506800.6</v>
      </c>
    </row>
    <row r="342" spans="1:8" ht="37.5" customHeight="1">
      <c r="A342" s="7" t="s">
        <v>175</v>
      </c>
      <c r="B342" s="8" t="s">
        <v>138</v>
      </c>
      <c r="C342" s="8" t="s">
        <v>104</v>
      </c>
      <c r="D342" s="8" t="s">
        <v>687</v>
      </c>
      <c r="E342" s="8" t="s">
        <v>98</v>
      </c>
      <c r="F342" s="49">
        <f>F343+F345+F348+F350</f>
        <v>483106.8</v>
      </c>
      <c r="G342" s="39">
        <f>G343+G345+G348+G350</f>
        <v>490677.6</v>
      </c>
      <c r="H342" s="39">
        <f>H343+H345+H348+H350</f>
        <v>506800.6</v>
      </c>
    </row>
    <row r="343" spans="1:8" ht="112.5" customHeight="1">
      <c r="A343" s="7" t="s">
        <v>352</v>
      </c>
      <c r="B343" s="8" t="s">
        <v>138</v>
      </c>
      <c r="C343" s="8" t="s">
        <v>104</v>
      </c>
      <c r="D343" s="8" t="s">
        <v>353</v>
      </c>
      <c r="E343" s="8" t="s">
        <v>98</v>
      </c>
      <c r="F343" s="49">
        <f>F344</f>
        <v>404068.6</v>
      </c>
      <c r="G343" s="39">
        <f>G344</f>
        <v>393965</v>
      </c>
      <c r="H343" s="39">
        <f>H344</f>
        <v>393965</v>
      </c>
    </row>
    <row r="344" spans="1:8" ht="82.5" customHeight="1">
      <c r="A344" s="7" t="s">
        <v>208</v>
      </c>
      <c r="B344" s="8" t="s">
        <v>138</v>
      </c>
      <c r="C344" s="8" t="s">
        <v>104</v>
      </c>
      <c r="D344" s="8" t="s">
        <v>353</v>
      </c>
      <c r="E344" s="8" t="s">
        <v>209</v>
      </c>
      <c r="F344" s="49">
        <f>404247-178.4</f>
        <v>404068.6</v>
      </c>
      <c r="G344" s="39">
        <v>393965</v>
      </c>
      <c r="H344" s="39">
        <v>393965</v>
      </c>
    </row>
    <row r="345" spans="1:8" ht="66" customHeight="1">
      <c r="A345" s="7" t="s">
        <v>354</v>
      </c>
      <c r="B345" s="8" t="s">
        <v>138</v>
      </c>
      <c r="C345" s="8" t="s">
        <v>104</v>
      </c>
      <c r="D345" s="8" t="s">
        <v>355</v>
      </c>
      <c r="E345" s="8" t="s">
        <v>98</v>
      </c>
      <c r="F345" s="49">
        <f>F346+F347</f>
        <v>78988.2</v>
      </c>
      <c r="G345" s="39">
        <f>G346+G347</f>
        <v>96662.6</v>
      </c>
      <c r="H345" s="39">
        <f>H346+H347</f>
        <v>112785.6</v>
      </c>
    </row>
    <row r="346" spans="1:8" ht="81.75" customHeight="1">
      <c r="A346" s="7" t="s">
        <v>208</v>
      </c>
      <c r="B346" s="8" t="s">
        <v>138</v>
      </c>
      <c r="C346" s="8" t="s">
        <v>104</v>
      </c>
      <c r="D346" s="8" t="s">
        <v>355</v>
      </c>
      <c r="E346" s="8" t="s">
        <v>209</v>
      </c>
      <c r="F346" s="49">
        <f>59555+8550-373-1227.6+832+1000+6813.5+3746.8</f>
        <v>78896.7</v>
      </c>
      <c r="G346" s="39">
        <v>96662.6</v>
      </c>
      <c r="H346" s="39">
        <v>112785.6</v>
      </c>
    </row>
    <row r="347" spans="1:8" ht="36" customHeight="1">
      <c r="A347" s="7" t="s">
        <v>170</v>
      </c>
      <c r="B347" s="8" t="s">
        <v>138</v>
      </c>
      <c r="C347" s="8" t="s">
        <v>104</v>
      </c>
      <c r="D347" s="8" t="s">
        <v>355</v>
      </c>
      <c r="E347" s="8" t="s">
        <v>171</v>
      </c>
      <c r="F347" s="49">
        <f>187-95.5</f>
        <v>91.5</v>
      </c>
      <c r="G347" s="39">
        <v>0</v>
      </c>
      <c r="H347" s="39">
        <v>0</v>
      </c>
    </row>
    <row r="348" spans="1:8" ht="66" customHeight="1">
      <c r="A348" s="7" t="s">
        <v>356</v>
      </c>
      <c r="B348" s="8" t="s">
        <v>138</v>
      </c>
      <c r="C348" s="8" t="s">
        <v>104</v>
      </c>
      <c r="D348" s="8" t="s">
        <v>357</v>
      </c>
      <c r="E348" s="8" t="s">
        <v>98</v>
      </c>
      <c r="F348" s="49">
        <f>F349</f>
        <v>50</v>
      </c>
      <c r="G348" s="39">
        <f>G349</f>
        <v>50</v>
      </c>
      <c r="H348" s="39">
        <f>H349</f>
        <v>50</v>
      </c>
    </row>
    <row r="349" spans="1:8" ht="30" customHeight="1">
      <c r="A349" s="7" t="s">
        <v>170</v>
      </c>
      <c r="B349" s="8" t="s">
        <v>138</v>
      </c>
      <c r="C349" s="8" t="s">
        <v>104</v>
      </c>
      <c r="D349" s="8" t="s">
        <v>357</v>
      </c>
      <c r="E349" s="8" t="s">
        <v>171</v>
      </c>
      <c r="F349" s="49">
        <v>50</v>
      </c>
      <c r="G349" s="39">
        <v>50</v>
      </c>
      <c r="H349" s="39">
        <v>50</v>
      </c>
    </row>
    <row r="350" spans="1:8" ht="40.5" customHeight="1">
      <c r="A350" s="7" t="s">
        <v>340</v>
      </c>
      <c r="B350" s="8" t="s">
        <v>138</v>
      </c>
      <c r="C350" s="8" t="s">
        <v>104</v>
      </c>
      <c r="D350" s="8" t="s">
        <v>358</v>
      </c>
      <c r="E350" s="8" t="s">
        <v>98</v>
      </c>
      <c r="F350" s="49">
        <f>F351</f>
        <v>0</v>
      </c>
      <c r="G350" s="39">
        <f>G351</f>
        <v>0</v>
      </c>
      <c r="H350" s="39">
        <f>H351</f>
        <v>0</v>
      </c>
    </row>
    <row r="351" spans="1:8" ht="31.5" customHeight="1">
      <c r="A351" s="7" t="s">
        <v>170</v>
      </c>
      <c r="B351" s="8" t="s">
        <v>138</v>
      </c>
      <c r="C351" s="8" t="s">
        <v>104</v>
      </c>
      <c r="D351" s="8" t="s">
        <v>358</v>
      </c>
      <c r="E351" s="8" t="s">
        <v>171</v>
      </c>
      <c r="F351" s="49">
        <f>6000-2000-2266-1734</f>
        <v>0</v>
      </c>
      <c r="G351" s="39">
        <v>0</v>
      </c>
      <c r="H351" s="39">
        <v>0</v>
      </c>
    </row>
    <row r="352" spans="1:8" ht="18.75" customHeight="1">
      <c r="A352" s="7" t="s">
        <v>359</v>
      </c>
      <c r="B352" s="8" t="s">
        <v>138</v>
      </c>
      <c r="C352" s="8" t="s">
        <v>104</v>
      </c>
      <c r="D352" s="8" t="s">
        <v>688</v>
      </c>
      <c r="E352" s="8" t="s">
        <v>98</v>
      </c>
      <c r="F352" s="48">
        <f>F353+F355</f>
        <v>73385.5</v>
      </c>
      <c r="G352" s="39">
        <f>G353+G355</f>
        <v>59646.5</v>
      </c>
      <c r="H352" s="39">
        <f>H353+H355</f>
        <v>59646.5</v>
      </c>
    </row>
    <row r="353" spans="1:8" ht="56.25" customHeight="1">
      <c r="A353" s="7" t="s">
        <v>360</v>
      </c>
      <c r="B353" s="8" t="s">
        <v>138</v>
      </c>
      <c r="C353" s="8" t="s">
        <v>104</v>
      </c>
      <c r="D353" s="8" t="s">
        <v>361</v>
      </c>
      <c r="E353" s="8" t="s">
        <v>98</v>
      </c>
      <c r="F353" s="49">
        <f>F354</f>
        <v>31.3</v>
      </c>
      <c r="G353" s="39">
        <f>G354</f>
        <v>51.5</v>
      </c>
      <c r="H353" s="39">
        <f>H354</f>
        <v>51.5</v>
      </c>
    </row>
    <row r="354" spans="1:8" ht="31.5" customHeight="1">
      <c r="A354" s="7" t="s">
        <v>130</v>
      </c>
      <c r="B354" s="8" t="s">
        <v>138</v>
      </c>
      <c r="C354" s="8" t="s">
        <v>104</v>
      </c>
      <c r="D354" s="8" t="s">
        <v>361</v>
      </c>
      <c r="E354" s="8" t="s">
        <v>131</v>
      </c>
      <c r="F354" s="49">
        <f>51.5-20.2</f>
        <v>31.3</v>
      </c>
      <c r="G354" s="39">
        <v>51.5</v>
      </c>
      <c r="H354" s="39">
        <v>51.5</v>
      </c>
    </row>
    <row r="355" spans="1:8" ht="33.75" customHeight="1">
      <c r="A355" s="7" t="s">
        <v>175</v>
      </c>
      <c r="B355" s="8" t="s">
        <v>138</v>
      </c>
      <c r="C355" s="8" t="s">
        <v>104</v>
      </c>
      <c r="D355" s="8" t="s">
        <v>689</v>
      </c>
      <c r="E355" s="8" t="s">
        <v>98</v>
      </c>
      <c r="F355" s="49">
        <f>F356+F362+F368</f>
        <v>73354.2</v>
      </c>
      <c r="G355" s="39">
        <f>G356+G362</f>
        <v>59595</v>
      </c>
      <c r="H355" s="39">
        <f>H356+H362</f>
        <v>59595</v>
      </c>
    </row>
    <row r="356" spans="1:8" ht="112.5" customHeight="1">
      <c r="A356" s="7" t="s">
        <v>362</v>
      </c>
      <c r="B356" s="8" t="s">
        <v>138</v>
      </c>
      <c r="C356" s="8" t="s">
        <v>104</v>
      </c>
      <c r="D356" s="8" t="s">
        <v>366</v>
      </c>
      <c r="E356" s="8" t="s">
        <v>98</v>
      </c>
      <c r="F356" s="48">
        <f>F357+F358+F359+F360+F361</f>
        <v>49285.7</v>
      </c>
      <c r="G356" s="39">
        <f>G357+G358+G359+G360+G361</f>
        <v>37825</v>
      </c>
      <c r="H356" s="39">
        <f>H357+H358+H359+H360+H361</f>
        <v>37825</v>
      </c>
    </row>
    <row r="357" spans="1:8" ht="15.75" customHeight="1">
      <c r="A357" s="7" t="s">
        <v>107</v>
      </c>
      <c r="B357" s="8" t="s">
        <v>138</v>
      </c>
      <c r="C357" s="8" t="s">
        <v>104</v>
      </c>
      <c r="D357" s="8" t="s">
        <v>366</v>
      </c>
      <c r="E357" s="8" t="s">
        <v>178</v>
      </c>
      <c r="F357" s="49">
        <f>36234-103+902.9</f>
        <v>37033.9</v>
      </c>
      <c r="G357" s="39">
        <v>37825</v>
      </c>
      <c r="H357" s="39">
        <v>37825</v>
      </c>
    </row>
    <row r="358" spans="1:8" ht="33" customHeight="1">
      <c r="A358" s="7" t="s">
        <v>126</v>
      </c>
      <c r="B358" s="8" t="s">
        <v>138</v>
      </c>
      <c r="C358" s="8" t="s">
        <v>104</v>
      </c>
      <c r="D358" s="8" t="s">
        <v>366</v>
      </c>
      <c r="E358" s="8" t="s">
        <v>185</v>
      </c>
      <c r="F358" s="49">
        <f>201.6-65.6</f>
        <v>136</v>
      </c>
      <c r="G358" s="39">
        <v>0</v>
      </c>
      <c r="H358" s="39">
        <v>0</v>
      </c>
    </row>
    <row r="359" spans="1:8" ht="42" customHeight="1">
      <c r="A359" s="7" t="s">
        <v>119</v>
      </c>
      <c r="B359" s="8" t="s">
        <v>138</v>
      </c>
      <c r="C359" s="8" t="s">
        <v>104</v>
      </c>
      <c r="D359" s="8" t="s">
        <v>366</v>
      </c>
      <c r="E359" s="8" t="s">
        <v>120</v>
      </c>
      <c r="F359" s="49">
        <f>39.8-21.9+89</f>
        <v>106.9</v>
      </c>
      <c r="G359" s="39">
        <v>0</v>
      </c>
      <c r="H359" s="39">
        <v>0</v>
      </c>
    </row>
    <row r="360" spans="1:8" ht="41.25" customHeight="1">
      <c r="A360" s="7" t="s">
        <v>115</v>
      </c>
      <c r="B360" s="8" t="s">
        <v>138</v>
      </c>
      <c r="C360" s="8" t="s">
        <v>104</v>
      </c>
      <c r="D360" s="8" t="s">
        <v>366</v>
      </c>
      <c r="E360" s="8" t="s">
        <v>116</v>
      </c>
      <c r="F360" s="49">
        <f>11008.8+103+150.3+737.8</f>
        <v>11999.899999999998</v>
      </c>
      <c r="G360" s="39">
        <v>0</v>
      </c>
      <c r="H360" s="39">
        <v>0</v>
      </c>
    </row>
    <row r="361" spans="1:8" ht="33.75" customHeight="1">
      <c r="A361" s="7" t="s">
        <v>130</v>
      </c>
      <c r="B361" s="8" t="s">
        <v>138</v>
      </c>
      <c r="C361" s="8" t="s">
        <v>104</v>
      </c>
      <c r="D361" s="8" t="s">
        <v>366</v>
      </c>
      <c r="E361" s="8" t="s">
        <v>131</v>
      </c>
      <c r="F361" s="49">
        <f>71.8-62.8</f>
        <v>9</v>
      </c>
      <c r="G361" s="39">
        <v>0</v>
      </c>
      <c r="H361" s="39">
        <v>0</v>
      </c>
    </row>
    <row r="362" spans="1:8" ht="89.25">
      <c r="A362" s="7" t="s">
        <v>367</v>
      </c>
      <c r="B362" s="8" t="s">
        <v>138</v>
      </c>
      <c r="C362" s="8" t="s">
        <v>104</v>
      </c>
      <c r="D362" s="8" t="s">
        <v>368</v>
      </c>
      <c r="E362" s="8" t="s">
        <v>98</v>
      </c>
      <c r="F362" s="49">
        <f>F363+F364+F365+F366+F367</f>
        <v>23674.999999999996</v>
      </c>
      <c r="G362" s="39">
        <f>G363+G364+G365+G366+G367</f>
        <v>21770</v>
      </c>
      <c r="H362" s="39">
        <f>H363+H364+H365+H366+H367</f>
        <v>21770</v>
      </c>
    </row>
    <row r="363" spans="1:8" ht="20.25" customHeight="1">
      <c r="A363" s="7" t="s">
        <v>107</v>
      </c>
      <c r="B363" s="8" t="s">
        <v>138</v>
      </c>
      <c r="C363" s="8" t="s">
        <v>104</v>
      </c>
      <c r="D363" s="8" t="s">
        <v>368</v>
      </c>
      <c r="E363" s="8" t="s">
        <v>178</v>
      </c>
      <c r="F363" s="49">
        <f>20855-6118.9</f>
        <v>14736.1</v>
      </c>
      <c r="G363" s="39">
        <v>21770</v>
      </c>
      <c r="H363" s="39">
        <v>21770</v>
      </c>
    </row>
    <row r="364" spans="1:8" ht="36" customHeight="1">
      <c r="A364" s="7" t="s">
        <v>126</v>
      </c>
      <c r="B364" s="8" t="s">
        <v>138</v>
      </c>
      <c r="C364" s="8" t="s">
        <v>104</v>
      </c>
      <c r="D364" s="8" t="s">
        <v>368</v>
      </c>
      <c r="E364" s="8" t="s">
        <v>185</v>
      </c>
      <c r="F364" s="49">
        <f>60-21.1</f>
        <v>38.9</v>
      </c>
      <c r="G364" s="39">
        <v>0</v>
      </c>
      <c r="H364" s="39">
        <v>0</v>
      </c>
    </row>
    <row r="365" spans="1:8" ht="45" customHeight="1">
      <c r="A365" s="7" t="s">
        <v>119</v>
      </c>
      <c r="B365" s="8" t="s">
        <v>138</v>
      </c>
      <c r="C365" s="8" t="s">
        <v>104</v>
      </c>
      <c r="D365" s="8" t="s">
        <v>368</v>
      </c>
      <c r="E365" s="8" t="s">
        <v>120</v>
      </c>
      <c r="F365" s="49">
        <f>31.2-9.9</f>
        <v>21.299999999999997</v>
      </c>
      <c r="G365" s="39">
        <v>0</v>
      </c>
      <c r="H365" s="39">
        <v>0</v>
      </c>
    </row>
    <row r="366" spans="1:8" ht="38.25">
      <c r="A366" s="7" t="s">
        <v>115</v>
      </c>
      <c r="B366" s="8" t="s">
        <v>138</v>
      </c>
      <c r="C366" s="8" t="s">
        <v>104</v>
      </c>
      <c r="D366" s="8" t="s">
        <v>368</v>
      </c>
      <c r="E366" s="8" t="s">
        <v>116</v>
      </c>
      <c r="F366" s="49">
        <f>12025.4-3150.3</f>
        <v>8875.099999999999</v>
      </c>
      <c r="G366" s="39">
        <v>0</v>
      </c>
      <c r="H366" s="39">
        <v>0</v>
      </c>
    </row>
    <row r="367" spans="1:8" ht="33.75" customHeight="1">
      <c r="A367" s="7" t="s">
        <v>130</v>
      </c>
      <c r="B367" s="8" t="s">
        <v>138</v>
      </c>
      <c r="C367" s="8" t="s">
        <v>104</v>
      </c>
      <c r="D367" s="8" t="s">
        <v>368</v>
      </c>
      <c r="E367" s="8" t="s">
        <v>131</v>
      </c>
      <c r="F367" s="49">
        <f>41.4-37.8</f>
        <v>3.6000000000000014</v>
      </c>
      <c r="G367" s="39">
        <v>0</v>
      </c>
      <c r="H367" s="39">
        <v>0</v>
      </c>
    </row>
    <row r="368" spans="1:8" ht="93" customHeight="1">
      <c r="A368" s="7" t="s">
        <v>367</v>
      </c>
      <c r="B368" s="8" t="s">
        <v>138</v>
      </c>
      <c r="C368" s="8" t="s">
        <v>104</v>
      </c>
      <c r="D368" s="8" t="s">
        <v>452</v>
      </c>
      <c r="E368" s="8"/>
      <c r="F368" s="49">
        <f>F370+F369</f>
        <v>393.5</v>
      </c>
      <c r="G368" s="39"/>
      <c r="H368" s="39"/>
    </row>
    <row r="369" spans="1:8" ht="28.5" customHeight="1">
      <c r="A369" s="7" t="s">
        <v>107</v>
      </c>
      <c r="B369" s="8" t="s">
        <v>138</v>
      </c>
      <c r="C369" s="8" t="s">
        <v>104</v>
      </c>
      <c r="D369" s="8" t="s">
        <v>452</v>
      </c>
      <c r="E369" s="8" t="s">
        <v>178</v>
      </c>
      <c r="F369" s="49">
        <f>9-4.5</f>
        <v>4.5</v>
      </c>
      <c r="G369" s="39"/>
      <c r="H369" s="39"/>
    </row>
    <row r="370" spans="1:8" ht="48" customHeight="1">
      <c r="A370" s="7" t="s">
        <v>115</v>
      </c>
      <c r="B370" s="8" t="s">
        <v>138</v>
      </c>
      <c r="C370" s="8" t="s">
        <v>104</v>
      </c>
      <c r="D370" s="8" t="s">
        <v>452</v>
      </c>
      <c r="E370" s="8" t="s">
        <v>116</v>
      </c>
      <c r="F370" s="49">
        <f>500-108-3</f>
        <v>389</v>
      </c>
      <c r="G370" s="39"/>
      <c r="H370" s="39"/>
    </row>
    <row r="371" spans="1:8" ht="31.5" customHeight="1">
      <c r="A371" s="7" t="s">
        <v>369</v>
      </c>
      <c r="B371" s="8" t="s">
        <v>138</v>
      </c>
      <c r="C371" s="8" t="s">
        <v>104</v>
      </c>
      <c r="D371" s="8" t="s">
        <v>691</v>
      </c>
      <c r="E371" s="8" t="s">
        <v>98</v>
      </c>
      <c r="F371" s="48">
        <f>F372+F374</f>
        <v>147323</v>
      </c>
      <c r="G371" s="39">
        <f>G372+G374</f>
        <v>146829.48</v>
      </c>
      <c r="H371" s="39">
        <f>H372+H374</f>
        <v>152099.48</v>
      </c>
    </row>
    <row r="372" spans="1:8" ht="54.75" customHeight="1">
      <c r="A372" s="7" t="s">
        <v>399</v>
      </c>
      <c r="B372" s="8" t="s">
        <v>138</v>
      </c>
      <c r="C372" s="8" t="s">
        <v>104</v>
      </c>
      <c r="D372" s="8" t="s">
        <v>370</v>
      </c>
      <c r="E372" s="8" t="s">
        <v>98</v>
      </c>
      <c r="F372" s="49">
        <f>F373</f>
        <v>500</v>
      </c>
      <c r="G372" s="39">
        <f>G373</f>
        <v>200</v>
      </c>
      <c r="H372" s="39">
        <f>H373</f>
        <v>200</v>
      </c>
    </row>
    <row r="373" spans="1:8" ht="82.5" customHeight="1">
      <c r="A373" s="7" t="s">
        <v>208</v>
      </c>
      <c r="B373" s="8" t="s">
        <v>138</v>
      </c>
      <c r="C373" s="8" t="s">
        <v>104</v>
      </c>
      <c r="D373" s="8" t="s">
        <v>370</v>
      </c>
      <c r="E373" s="8" t="s">
        <v>209</v>
      </c>
      <c r="F373" s="49">
        <f>400+130-30</f>
        <v>500</v>
      </c>
      <c r="G373" s="39">
        <v>200</v>
      </c>
      <c r="H373" s="39">
        <v>200</v>
      </c>
    </row>
    <row r="374" spans="1:8" ht="33.75" customHeight="1">
      <c r="A374" s="7" t="s">
        <v>175</v>
      </c>
      <c r="B374" s="8" t="s">
        <v>138</v>
      </c>
      <c r="C374" s="8" t="s">
        <v>104</v>
      </c>
      <c r="D374" s="8" t="s">
        <v>690</v>
      </c>
      <c r="E374" s="8" t="s">
        <v>98</v>
      </c>
      <c r="F374" s="49">
        <f>F375</f>
        <v>146823</v>
      </c>
      <c r="G374" s="39">
        <f>G375</f>
        <v>146629.48</v>
      </c>
      <c r="H374" s="39">
        <f>H375</f>
        <v>151899.48</v>
      </c>
    </row>
    <row r="375" spans="1:8" ht="72.75" customHeight="1">
      <c r="A375" s="7" t="s">
        <v>371</v>
      </c>
      <c r="B375" s="8" t="s">
        <v>138</v>
      </c>
      <c r="C375" s="8" t="s">
        <v>104</v>
      </c>
      <c r="D375" s="8" t="s">
        <v>372</v>
      </c>
      <c r="E375" s="8" t="s">
        <v>98</v>
      </c>
      <c r="F375" s="49">
        <f>F376+F377</f>
        <v>146823</v>
      </c>
      <c r="G375" s="39">
        <f>G376+G377</f>
        <v>146629.48</v>
      </c>
      <c r="H375" s="39">
        <f>H376+H377</f>
        <v>151899.48</v>
      </c>
    </row>
    <row r="376" spans="1:8" ht="82.5" customHeight="1">
      <c r="A376" s="7" t="s">
        <v>208</v>
      </c>
      <c r="B376" s="8" t="s">
        <v>138</v>
      </c>
      <c r="C376" s="8" t="s">
        <v>104</v>
      </c>
      <c r="D376" s="8" t="s">
        <v>372</v>
      </c>
      <c r="E376" s="8" t="s">
        <v>209</v>
      </c>
      <c r="F376" s="49">
        <f>140457.2-760-33-130+0.1+652+614-450-702.7+69.8+3129.7+3132.9</f>
        <v>145980</v>
      </c>
      <c r="G376" s="39">
        <v>146629.48</v>
      </c>
      <c r="H376" s="39">
        <v>151899.48</v>
      </c>
    </row>
    <row r="377" spans="1:8" ht="30.75" customHeight="1">
      <c r="A377" s="7" t="s">
        <v>170</v>
      </c>
      <c r="B377" s="8" t="s">
        <v>138</v>
      </c>
      <c r="C377" s="8" t="s">
        <v>104</v>
      </c>
      <c r="D377" s="8" t="s">
        <v>372</v>
      </c>
      <c r="E377" s="8" t="s">
        <v>171</v>
      </c>
      <c r="F377" s="49">
        <f>835.4+150-70-72.4</f>
        <v>843</v>
      </c>
      <c r="G377" s="39">
        <v>0</v>
      </c>
      <c r="H377" s="39">
        <v>0</v>
      </c>
    </row>
    <row r="378" spans="1:8" ht="21.75" customHeight="1">
      <c r="A378" s="9" t="s">
        <v>373</v>
      </c>
      <c r="B378" s="8" t="s">
        <v>138</v>
      </c>
      <c r="C378" s="8" t="s">
        <v>104</v>
      </c>
      <c r="D378" s="8" t="s">
        <v>692</v>
      </c>
      <c r="E378" s="8" t="s">
        <v>98</v>
      </c>
      <c r="F378" s="48">
        <f>F379+F381</f>
        <v>38653.9</v>
      </c>
      <c r="G378" s="39">
        <f>G379+G381</f>
        <v>21617.2</v>
      </c>
      <c r="H378" s="39">
        <f>H379+H381</f>
        <v>21617.2</v>
      </c>
    </row>
    <row r="379" spans="1:8" ht="57" customHeight="1">
      <c r="A379" s="7" t="s">
        <v>374</v>
      </c>
      <c r="B379" s="8" t="s">
        <v>138</v>
      </c>
      <c r="C379" s="8" t="s">
        <v>104</v>
      </c>
      <c r="D379" s="8" t="s">
        <v>375</v>
      </c>
      <c r="E379" s="8" t="s">
        <v>98</v>
      </c>
      <c r="F379" s="49">
        <f>F380</f>
        <v>102.3</v>
      </c>
      <c r="G379" s="39">
        <f>G380</f>
        <v>106</v>
      </c>
      <c r="H379" s="39">
        <f>H380</f>
        <v>106</v>
      </c>
    </row>
    <row r="380" spans="1:8" ht="32.25" customHeight="1">
      <c r="A380" s="7" t="s">
        <v>130</v>
      </c>
      <c r="B380" s="8" t="s">
        <v>138</v>
      </c>
      <c r="C380" s="8" t="s">
        <v>104</v>
      </c>
      <c r="D380" s="8" t="s">
        <v>375</v>
      </c>
      <c r="E380" s="8" t="s">
        <v>131</v>
      </c>
      <c r="F380" s="49">
        <f>106-3.7</f>
        <v>102.3</v>
      </c>
      <c r="G380" s="39">
        <v>106</v>
      </c>
      <c r="H380" s="39">
        <v>106</v>
      </c>
    </row>
    <row r="381" spans="1:8" ht="32.25" customHeight="1">
      <c r="A381" s="7" t="s">
        <v>175</v>
      </c>
      <c r="B381" s="8" t="s">
        <v>138</v>
      </c>
      <c r="C381" s="8" t="s">
        <v>104</v>
      </c>
      <c r="D381" s="8" t="s">
        <v>693</v>
      </c>
      <c r="E381" s="8" t="s">
        <v>98</v>
      </c>
      <c r="F381" s="49">
        <f>F382+F388</f>
        <v>38551.6</v>
      </c>
      <c r="G381" s="39">
        <f>G382+G388</f>
        <v>21511.2</v>
      </c>
      <c r="H381" s="39">
        <f>H382+H388</f>
        <v>21511.2</v>
      </c>
    </row>
    <row r="382" spans="1:8" ht="63.75">
      <c r="A382" s="7" t="s">
        <v>376</v>
      </c>
      <c r="B382" s="8" t="s">
        <v>138</v>
      </c>
      <c r="C382" s="8" t="s">
        <v>104</v>
      </c>
      <c r="D382" s="8" t="s">
        <v>377</v>
      </c>
      <c r="E382" s="8" t="s">
        <v>98</v>
      </c>
      <c r="F382" s="49">
        <f>F383+F384+F385+F386+F387</f>
        <v>38319.9</v>
      </c>
      <c r="G382" s="39">
        <f>G383+G384+G385+G386+G387</f>
        <v>21500</v>
      </c>
      <c r="H382" s="39">
        <f>H383+H384+H385+H386+H387</f>
        <v>21500</v>
      </c>
    </row>
    <row r="383" spans="1:8" ht="23.25" customHeight="1">
      <c r="A383" s="7" t="s">
        <v>107</v>
      </c>
      <c r="B383" s="8" t="s">
        <v>138</v>
      </c>
      <c r="C383" s="8" t="s">
        <v>104</v>
      </c>
      <c r="D383" s="8" t="s">
        <v>377</v>
      </c>
      <c r="E383" s="8" t="s">
        <v>178</v>
      </c>
      <c r="F383" s="49">
        <f>20588+1900.3</f>
        <v>22488.3</v>
      </c>
      <c r="G383" s="39">
        <v>21500</v>
      </c>
      <c r="H383" s="39">
        <v>21500</v>
      </c>
    </row>
    <row r="384" spans="1:8" ht="36.75" customHeight="1">
      <c r="A384" s="7" t="s">
        <v>126</v>
      </c>
      <c r="B384" s="8" t="s">
        <v>138</v>
      </c>
      <c r="C384" s="8" t="s">
        <v>104</v>
      </c>
      <c r="D384" s="8" t="s">
        <v>377</v>
      </c>
      <c r="E384" s="8" t="s">
        <v>185</v>
      </c>
      <c r="F384" s="49">
        <f>52.8+1+6.9</f>
        <v>60.699999999999996</v>
      </c>
      <c r="G384" s="39">
        <v>0</v>
      </c>
      <c r="H384" s="39">
        <v>0</v>
      </c>
    </row>
    <row r="385" spans="1:8" ht="44.25" customHeight="1">
      <c r="A385" s="7" t="s">
        <v>119</v>
      </c>
      <c r="B385" s="8" t="s">
        <v>138</v>
      </c>
      <c r="C385" s="8" t="s">
        <v>104</v>
      </c>
      <c r="D385" s="8" t="s">
        <v>377</v>
      </c>
      <c r="E385" s="8" t="s">
        <v>120</v>
      </c>
      <c r="F385" s="49">
        <f>30.7-6+14.7</f>
        <v>39.4</v>
      </c>
      <c r="G385" s="39">
        <v>0</v>
      </c>
      <c r="H385" s="39">
        <v>0</v>
      </c>
    </row>
    <row r="386" spans="1:8" ht="39.75" customHeight="1">
      <c r="A386" s="7" t="s">
        <v>115</v>
      </c>
      <c r="B386" s="8" t="s">
        <v>138</v>
      </c>
      <c r="C386" s="8" t="s">
        <v>104</v>
      </c>
      <c r="D386" s="8" t="s">
        <v>377</v>
      </c>
      <c r="E386" s="8" t="s">
        <v>116</v>
      </c>
      <c r="F386" s="49">
        <f>9129.4+3000+17.1+3584</f>
        <v>15730.5</v>
      </c>
      <c r="G386" s="39">
        <v>0</v>
      </c>
      <c r="H386" s="39">
        <v>0</v>
      </c>
    </row>
    <row r="387" spans="1:8" ht="33" customHeight="1">
      <c r="A387" s="7" t="s">
        <v>130</v>
      </c>
      <c r="B387" s="8" t="s">
        <v>138</v>
      </c>
      <c r="C387" s="8" t="s">
        <v>104</v>
      </c>
      <c r="D387" s="8" t="s">
        <v>377</v>
      </c>
      <c r="E387" s="8" t="s">
        <v>131</v>
      </c>
      <c r="F387" s="49">
        <f>13.1-12.1</f>
        <v>1</v>
      </c>
      <c r="G387" s="39">
        <v>0</v>
      </c>
      <c r="H387" s="39">
        <v>0</v>
      </c>
    </row>
    <row r="388" spans="1:8" ht="56.25" customHeight="1">
      <c r="A388" s="7" t="s">
        <v>378</v>
      </c>
      <c r="B388" s="8" t="s">
        <v>138</v>
      </c>
      <c r="C388" s="8" t="s">
        <v>104</v>
      </c>
      <c r="D388" s="8" t="s">
        <v>379</v>
      </c>
      <c r="E388" s="8" t="s">
        <v>98</v>
      </c>
      <c r="F388" s="49">
        <f>F389+F390</f>
        <v>231.7</v>
      </c>
      <c r="G388" s="39">
        <f>G389</f>
        <v>11.2</v>
      </c>
      <c r="H388" s="39">
        <f>H389</f>
        <v>11.2</v>
      </c>
    </row>
    <row r="389" spans="1:8" ht="20.25" customHeight="1">
      <c r="A389" s="7" t="s">
        <v>107</v>
      </c>
      <c r="B389" s="8" t="s">
        <v>138</v>
      </c>
      <c r="C389" s="8" t="s">
        <v>104</v>
      </c>
      <c r="D389" s="8" t="s">
        <v>379</v>
      </c>
      <c r="E389" s="8" t="s">
        <v>178</v>
      </c>
      <c r="F389" s="49">
        <f>11.2+13.5-11.2</f>
        <v>13.5</v>
      </c>
      <c r="G389" s="39">
        <v>11.2</v>
      </c>
      <c r="H389" s="39">
        <v>11.2</v>
      </c>
    </row>
    <row r="390" spans="1:8" ht="42.75" customHeight="1">
      <c r="A390" s="7" t="s">
        <v>115</v>
      </c>
      <c r="B390" s="8" t="s">
        <v>138</v>
      </c>
      <c r="C390" s="8" t="s">
        <v>104</v>
      </c>
      <c r="D390" s="8" t="s">
        <v>379</v>
      </c>
      <c r="E390" s="8" t="s">
        <v>116</v>
      </c>
      <c r="F390" s="49">
        <f>107.2+108+3</f>
        <v>218.2</v>
      </c>
      <c r="G390" s="39"/>
      <c r="H390" s="39"/>
    </row>
    <row r="391" spans="1:8" ht="32.25" customHeight="1">
      <c r="A391" s="7" t="s">
        <v>380</v>
      </c>
      <c r="B391" s="8" t="s">
        <v>138</v>
      </c>
      <c r="C391" s="8" t="s">
        <v>104</v>
      </c>
      <c r="D391" s="8" t="s">
        <v>694</v>
      </c>
      <c r="E391" s="8" t="s">
        <v>98</v>
      </c>
      <c r="F391" s="48">
        <f aca="true" t="shared" si="14" ref="F391:H392">F392</f>
        <v>292.32</v>
      </c>
      <c r="G391" s="39">
        <f t="shared" si="14"/>
        <v>292.32</v>
      </c>
      <c r="H391" s="39">
        <f t="shared" si="14"/>
        <v>292.32</v>
      </c>
    </row>
    <row r="392" spans="1:8" ht="33.75" customHeight="1">
      <c r="A392" s="7" t="s">
        <v>380</v>
      </c>
      <c r="B392" s="8" t="s">
        <v>138</v>
      </c>
      <c r="C392" s="8" t="s">
        <v>104</v>
      </c>
      <c r="D392" s="8" t="s">
        <v>381</v>
      </c>
      <c r="E392" s="8" t="s">
        <v>98</v>
      </c>
      <c r="F392" s="49">
        <f t="shared" si="14"/>
        <v>292.32</v>
      </c>
      <c r="G392" s="39">
        <f t="shared" si="14"/>
        <v>292.32</v>
      </c>
      <c r="H392" s="39">
        <f t="shared" si="14"/>
        <v>292.32</v>
      </c>
    </row>
    <row r="393" spans="1:8" ht="81.75" customHeight="1">
      <c r="A393" s="7" t="s">
        <v>208</v>
      </c>
      <c r="B393" s="8" t="s">
        <v>138</v>
      </c>
      <c r="C393" s="8" t="s">
        <v>104</v>
      </c>
      <c r="D393" s="8" t="s">
        <v>381</v>
      </c>
      <c r="E393" s="8" t="s">
        <v>209</v>
      </c>
      <c r="F393" s="49">
        <v>292.32</v>
      </c>
      <c r="G393" s="39">
        <v>292.32</v>
      </c>
      <c r="H393" s="39">
        <v>292.32</v>
      </c>
    </row>
    <row r="394" spans="1:8" ht="31.5" customHeight="1">
      <c r="A394" s="7" t="s">
        <v>528</v>
      </c>
      <c r="B394" s="8" t="s">
        <v>138</v>
      </c>
      <c r="C394" s="8" t="s">
        <v>104</v>
      </c>
      <c r="D394" s="8" t="s">
        <v>529</v>
      </c>
      <c r="E394" s="8"/>
      <c r="F394" s="48">
        <f>F395</f>
        <v>7000</v>
      </c>
      <c r="G394" s="39"/>
      <c r="H394" s="39"/>
    </row>
    <row r="395" spans="1:8" ht="69" customHeight="1">
      <c r="A395" s="7" t="s">
        <v>251</v>
      </c>
      <c r="B395" s="8" t="s">
        <v>138</v>
      </c>
      <c r="C395" s="8" t="s">
        <v>104</v>
      </c>
      <c r="D395" s="8" t="s">
        <v>364</v>
      </c>
      <c r="E395" s="8"/>
      <c r="F395" s="49">
        <f>F396</f>
        <v>7000</v>
      </c>
      <c r="G395" s="39"/>
      <c r="H395" s="39"/>
    </row>
    <row r="396" spans="1:8" ht="27.75" customHeight="1">
      <c r="A396" s="7" t="s">
        <v>170</v>
      </c>
      <c r="B396" s="8" t="s">
        <v>138</v>
      </c>
      <c r="C396" s="8" t="s">
        <v>104</v>
      </c>
      <c r="D396" s="8" t="s">
        <v>363</v>
      </c>
      <c r="E396" s="8" t="s">
        <v>171</v>
      </c>
      <c r="F396" s="49">
        <f>7000</f>
        <v>7000</v>
      </c>
      <c r="G396" s="39"/>
      <c r="H396" s="39"/>
    </row>
    <row r="397" spans="1:8" ht="30" customHeight="1">
      <c r="A397" s="7" t="s">
        <v>199</v>
      </c>
      <c r="B397" s="8" t="s">
        <v>138</v>
      </c>
      <c r="C397" s="8" t="s">
        <v>104</v>
      </c>
      <c r="D397" s="8" t="s">
        <v>670</v>
      </c>
      <c r="E397" s="8" t="s">
        <v>98</v>
      </c>
      <c r="F397" s="49">
        <f>F398+F402+F408+F405</f>
        <v>14695.3</v>
      </c>
      <c r="G397" s="39">
        <f>G398+G402+G408</f>
        <v>1739</v>
      </c>
      <c r="H397" s="39">
        <f>H398+H402+H408</f>
        <v>1739</v>
      </c>
    </row>
    <row r="398" spans="1:8" ht="42" customHeight="1">
      <c r="A398" s="7" t="s">
        <v>382</v>
      </c>
      <c r="B398" s="8" t="s">
        <v>138</v>
      </c>
      <c r="C398" s="8" t="s">
        <v>104</v>
      </c>
      <c r="D398" s="8" t="s">
        <v>383</v>
      </c>
      <c r="E398" s="8" t="s">
        <v>98</v>
      </c>
      <c r="F398" s="49">
        <f>F399+F401+F400</f>
        <v>11530</v>
      </c>
      <c r="G398" s="39">
        <f>G401</f>
        <v>0</v>
      </c>
      <c r="H398" s="39">
        <f>H401</f>
        <v>0</v>
      </c>
    </row>
    <row r="399" spans="1:8" ht="20.25" customHeight="1">
      <c r="A399" s="7" t="s">
        <v>107</v>
      </c>
      <c r="B399" s="8" t="s">
        <v>138</v>
      </c>
      <c r="C399" s="8" t="s">
        <v>104</v>
      </c>
      <c r="D399" s="8" t="s">
        <v>383</v>
      </c>
      <c r="E399" s="8" t="s">
        <v>178</v>
      </c>
      <c r="F399" s="49">
        <f>721-84.2</f>
        <v>636.8</v>
      </c>
      <c r="G399" s="39"/>
      <c r="H399" s="39"/>
    </row>
    <row r="400" spans="1:8" ht="81" customHeight="1">
      <c r="A400" s="7" t="s">
        <v>208</v>
      </c>
      <c r="B400" s="8" t="s">
        <v>138</v>
      </c>
      <c r="C400" s="8" t="s">
        <v>104</v>
      </c>
      <c r="D400" s="8" t="s">
        <v>383</v>
      </c>
      <c r="E400" s="8" t="s">
        <v>209</v>
      </c>
      <c r="F400" s="49">
        <f>2016.2+8877</f>
        <v>10893.2</v>
      </c>
      <c r="G400" s="39"/>
      <c r="H400" s="39"/>
    </row>
    <row r="401" spans="1:8" ht="33.75" customHeight="1">
      <c r="A401" s="7" t="s">
        <v>170</v>
      </c>
      <c r="B401" s="8" t="s">
        <v>138</v>
      </c>
      <c r="C401" s="8" t="s">
        <v>104</v>
      </c>
      <c r="D401" s="8" t="s">
        <v>383</v>
      </c>
      <c r="E401" s="8" t="s">
        <v>171</v>
      </c>
      <c r="F401" s="49">
        <f>10327+182-2016.2-8492.8</f>
        <v>0</v>
      </c>
      <c r="G401" s="39">
        <v>0</v>
      </c>
      <c r="H401" s="39">
        <v>0</v>
      </c>
    </row>
    <row r="402" spans="1:8" ht="45" customHeight="1">
      <c r="A402" s="7" t="s">
        <v>343</v>
      </c>
      <c r="B402" s="8" t="s">
        <v>138</v>
      </c>
      <c r="C402" s="8" t="s">
        <v>104</v>
      </c>
      <c r="D402" s="8" t="s">
        <v>344</v>
      </c>
      <c r="E402" s="8" t="s">
        <v>98</v>
      </c>
      <c r="F402" s="49">
        <f>F404+F403</f>
        <v>610</v>
      </c>
      <c r="G402" s="39">
        <f>G404</f>
        <v>680</v>
      </c>
      <c r="H402" s="39">
        <f>H404</f>
        <v>680</v>
      </c>
    </row>
    <row r="403" spans="1:8" ht="83.25" customHeight="1">
      <c r="A403" s="7" t="s">
        <v>208</v>
      </c>
      <c r="B403" s="8" t="s">
        <v>138</v>
      </c>
      <c r="C403" s="8" t="s">
        <v>104</v>
      </c>
      <c r="D403" s="8" t="s">
        <v>344</v>
      </c>
      <c r="E403" s="8" t="s">
        <v>209</v>
      </c>
      <c r="F403" s="49">
        <f>171+509-70</f>
        <v>610</v>
      </c>
      <c r="G403" s="39"/>
      <c r="H403" s="39"/>
    </row>
    <row r="404" spans="1:8" ht="32.25" customHeight="1">
      <c r="A404" s="7" t="s">
        <v>170</v>
      </c>
      <c r="B404" s="8" t="s">
        <v>138</v>
      </c>
      <c r="C404" s="8" t="s">
        <v>104</v>
      </c>
      <c r="D404" s="8" t="s">
        <v>344</v>
      </c>
      <c r="E404" s="8" t="s">
        <v>171</v>
      </c>
      <c r="F404" s="49">
        <f>680-171-509</f>
        <v>0</v>
      </c>
      <c r="G404" s="39">
        <v>680</v>
      </c>
      <c r="H404" s="39">
        <v>680</v>
      </c>
    </row>
    <row r="405" spans="1:8" ht="45.75" customHeight="1">
      <c r="A405" s="18" t="s">
        <v>333</v>
      </c>
      <c r="B405" s="13" t="s">
        <v>138</v>
      </c>
      <c r="C405" s="13" t="s">
        <v>104</v>
      </c>
      <c r="D405" s="13" t="s">
        <v>332</v>
      </c>
      <c r="E405" s="13"/>
      <c r="F405" s="48">
        <f>F406+F407</f>
        <v>1625.3</v>
      </c>
      <c r="G405" s="48"/>
      <c r="H405" s="48"/>
    </row>
    <row r="406" spans="1:8" ht="83.25" customHeight="1">
      <c r="A406" s="7" t="s">
        <v>208</v>
      </c>
      <c r="B406" s="8" t="s">
        <v>138</v>
      </c>
      <c r="C406" s="8" t="s">
        <v>104</v>
      </c>
      <c r="D406" s="8" t="s">
        <v>231</v>
      </c>
      <c r="E406" s="8" t="s">
        <v>209</v>
      </c>
      <c r="F406" s="48">
        <v>625.3</v>
      </c>
      <c r="G406" s="48"/>
      <c r="H406" s="48"/>
    </row>
    <row r="407" spans="1:8" ht="31.5" customHeight="1">
      <c r="A407" s="7" t="s">
        <v>170</v>
      </c>
      <c r="B407" s="8" t="s">
        <v>138</v>
      </c>
      <c r="C407" s="8" t="s">
        <v>104</v>
      </c>
      <c r="D407" s="8" t="s">
        <v>231</v>
      </c>
      <c r="E407" s="8" t="s">
        <v>171</v>
      </c>
      <c r="F407" s="48">
        <v>1000</v>
      </c>
      <c r="G407" s="48"/>
      <c r="H407" s="48"/>
    </row>
    <row r="408" spans="1:8" ht="252" customHeight="1">
      <c r="A408" s="7" t="s">
        <v>346</v>
      </c>
      <c r="B408" s="8" t="s">
        <v>138</v>
      </c>
      <c r="C408" s="8" t="s">
        <v>104</v>
      </c>
      <c r="D408" s="8" t="s">
        <v>347</v>
      </c>
      <c r="E408" s="8" t="s">
        <v>98</v>
      </c>
      <c r="F408" s="49">
        <f>F411+F409+F410</f>
        <v>930</v>
      </c>
      <c r="G408" s="39">
        <f>G411</f>
        <v>1059</v>
      </c>
      <c r="H408" s="39">
        <f>H411</f>
        <v>1059</v>
      </c>
    </row>
    <row r="409" spans="1:8" ht="20.25" customHeight="1">
      <c r="A409" s="7" t="s">
        <v>107</v>
      </c>
      <c r="B409" s="8" t="s">
        <v>138</v>
      </c>
      <c r="C409" s="8" t="s">
        <v>104</v>
      </c>
      <c r="D409" s="8" t="s">
        <v>347</v>
      </c>
      <c r="E409" s="8" t="s">
        <v>178</v>
      </c>
      <c r="F409" s="49">
        <f>689-59+52.9</f>
        <v>682.9</v>
      </c>
      <c r="G409" s="39"/>
      <c r="H409" s="39"/>
    </row>
    <row r="410" spans="1:8" ht="86.25" customHeight="1">
      <c r="A410" s="7" t="s">
        <v>208</v>
      </c>
      <c r="B410" s="8" t="s">
        <v>138</v>
      </c>
      <c r="C410" s="8" t="s">
        <v>104</v>
      </c>
      <c r="D410" s="8" t="s">
        <v>347</v>
      </c>
      <c r="E410" s="8" t="s">
        <v>209</v>
      </c>
      <c r="F410" s="49">
        <f>100+147.1</f>
        <v>247.1</v>
      </c>
      <c r="G410" s="39"/>
      <c r="H410" s="39"/>
    </row>
    <row r="411" spans="1:8" ht="35.25" customHeight="1">
      <c r="A411" s="7" t="s">
        <v>170</v>
      </c>
      <c r="B411" s="8" t="s">
        <v>138</v>
      </c>
      <c r="C411" s="8" t="s">
        <v>104</v>
      </c>
      <c r="D411" s="8" t="s">
        <v>347</v>
      </c>
      <c r="E411" s="8" t="s">
        <v>171</v>
      </c>
      <c r="F411" s="49">
        <f>370-70-100-200</f>
        <v>0</v>
      </c>
      <c r="G411" s="39">
        <v>1059</v>
      </c>
      <c r="H411" s="39">
        <v>1059</v>
      </c>
    </row>
    <row r="412" spans="1:8" ht="12.75">
      <c r="A412" s="7" t="s">
        <v>232</v>
      </c>
      <c r="B412" s="8" t="s">
        <v>138</v>
      </c>
      <c r="C412" s="8" t="s">
        <v>104</v>
      </c>
      <c r="D412" s="8" t="s">
        <v>675</v>
      </c>
      <c r="E412" s="8" t="s">
        <v>98</v>
      </c>
      <c r="F412" s="49">
        <f>F415+F413</f>
        <v>80</v>
      </c>
      <c r="G412" s="39">
        <f>G415</f>
        <v>1409</v>
      </c>
      <c r="H412" s="39">
        <f>H415</f>
        <v>1409</v>
      </c>
    </row>
    <row r="413" spans="1:8" ht="25.5">
      <c r="A413" s="7" t="s">
        <v>462</v>
      </c>
      <c r="B413" s="8" t="s">
        <v>138</v>
      </c>
      <c r="C413" s="8" t="s">
        <v>104</v>
      </c>
      <c r="D413" s="8" t="s">
        <v>463</v>
      </c>
      <c r="E413" s="8"/>
      <c r="F413" s="49">
        <f>F414</f>
        <v>80</v>
      </c>
      <c r="G413" s="39"/>
      <c r="H413" s="39"/>
    </row>
    <row r="414" spans="1:8" ht="25.5">
      <c r="A414" s="7" t="s">
        <v>170</v>
      </c>
      <c r="B414" s="8" t="s">
        <v>138</v>
      </c>
      <c r="C414" s="8" t="s">
        <v>104</v>
      </c>
      <c r="D414" s="8" t="s">
        <v>463</v>
      </c>
      <c r="E414" s="8" t="s">
        <v>171</v>
      </c>
      <c r="F414" s="49">
        <f>80</f>
        <v>80</v>
      </c>
      <c r="G414" s="39"/>
      <c r="H414" s="39"/>
    </row>
    <row r="415" spans="1:8" ht="63.75">
      <c r="A415" s="7" t="s">
        <v>384</v>
      </c>
      <c r="B415" s="8" t="s">
        <v>138</v>
      </c>
      <c r="C415" s="8" t="s">
        <v>104</v>
      </c>
      <c r="D415" s="8" t="s">
        <v>695</v>
      </c>
      <c r="E415" s="8" t="s">
        <v>98</v>
      </c>
      <c r="F415" s="49">
        <f>F416+F418</f>
        <v>0</v>
      </c>
      <c r="G415" s="39">
        <f>G416+G418</f>
        <v>1409</v>
      </c>
      <c r="H415" s="39">
        <f>H416+H418</f>
        <v>1409</v>
      </c>
    </row>
    <row r="416" spans="1:8" ht="60.75" customHeight="1">
      <c r="A416" s="7" t="s">
        <v>385</v>
      </c>
      <c r="B416" s="8" t="s">
        <v>138</v>
      </c>
      <c r="C416" s="8" t="s">
        <v>104</v>
      </c>
      <c r="D416" s="8" t="s">
        <v>386</v>
      </c>
      <c r="E416" s="8" t="s">
        <v>98</v>
      </c>
      <c r="F416" s="49">
        <f>F417</f>
        <v>0</v>
      </c>
      <c r="G416" s="39">
        <f>G417</f>
        <v>586</v>
      </c>
      <c r="H416" s="39">
        <f>H417</f>
        <v>586</v>
      </c>
    </row>
    <row r="417" spans="1:8" ht="33" customHeight="1">
      <c r="A417" s="7" t="s">
        <v>170</v>
      </c>
      <c r="B417" s="8" t="s">
        <v>138</v>
      </c>
      <c r="C417" s="8" t="s">
        <v>104</v>
      </c>
      <c r="D417" s="8" t="s">
        <v>386</v>
      </c>
      <c r="E417" s="8" t="s">
        <v>171</v>
      </c>
      <c r="F417" s="49">
        <f>3726-3459-267</f>
        <v>0</v>
      </c>
      <c r="G417" s="39">
        <v>586</v>
      </c>
      <c r="H417" s="39">
        <v>586</v>
      </c>
    </row>
    <row r="418" spans="1:8" ht="45.75" customHeight="1">
      <c r="A418" s="7" t="s">
        <v>387</v>
      </c>
      <c r="B418" s="8" t="s">
        <v>138</v>
      </c>
      <c r="C418" s="8" t="s">
        <v>104</v>
      </c>
      <c r="D418" s="8" t="s">
        <v>388</v>
      </c>
      <c r="E418" s="8" t="s">
        <v>98</v>
      </c>
      <c r="F418" s="49">
        <f>F419</f>
        <v>0</v>
      </c>
      <c r="G418" s="39">
        <f>G419</f>
        <v>823</v>
      </c>
      <c r="H418" s="39">
        <f>H419</f>
        <v>823</v>
      </c>
    </row>
    <row r="419" spans="1:8" ht="30.75" customHeight="1">
      <c r="A419" s="7" t="s">
        <v>170</v>
      </c>
      <c r="B419" s="8" t="s">
        <v>138</v>
      </c>
      <c r="C419" s="8" t="s">
        <v>104</v>
      </c>
      <c r="D419" s="8" t="s">
        <v>388</v>
      </c>
      <c r="E419" s="8" t="s">
        <v>171</v>
      </c>
      <c r="F419" s="49">
        <v>0</v>
      </c>
      <c r="G419" s="39">
        <v>823</v>
      </c>
      <c r="H419" s="39">
        <v>823</v>
      </c>
    </row>
    <row r="420" spans="1:8" ht="39" customHeight="1">
      <c r="A420" s="7" t="s">
        <v>333</v>
      </c>
      <c r="B420" s="8" t="s">
        <v>138</v>
      </c>
      <c r="C420" s="8" t="s">
        <v>104</v>
      </c>
      <c r="D420" s="8" t="s">
        <v>64</v>
      </c>
      <c r="E420" s="8"/>
      <c r="F420" s="49">
        <f>F421</f>
        <v>0</v>
      </c>
      <c r="G420" s="39"/>
      <c r="H420" s="39"/>
    </row>
    <row r="421" spans="1:8" ht="69" customHeight="1">
      <c r="A421" s="7" t="s">
        <v>202</v>
      </c>
      <c r="B421" s="8" t="s">
        <v>138</v>
      </c>
      <c r="C421" s="8" t="s">
        <v>104</v>
      </c>
      <c r="D421" s="8" t="s">
        <v>64</v>
      </c>
      <c r="E421" s="8" t="s">
        <v>203</v>
      </c>
      <c r="F421" s="49">
        <f>2000+10000-58.292-567-11374.708</f>
        <v>0</v>
      </c>
      <c r="G421" s="39"/>
      <c r="H421" s="39"/>
    </row>
    <row r="422" spans="1:8" ht="60" customHeight="1">
      <c r="A422" s="7" t="s">
        <v>235</v>
      </c>
      <c r="B422" s="8" t="s">
        <v>138</v>
      </c>
      <c r="C422" s="8" t="s">
        <v>104</v>
      </c>
      <c r="D422" s="8" t="s">
        <v>236</v>
      </c>
      <c r="E422" s="8" t="s">
        <v>98</v>
      </c>
      <c r="F422" s="49">
        <f>F423</f>
        <v>560.676</v>
      </c>
      <c r="G422" s="39"/>
      <c r="H422" s="39"/>
    </row>
    <row r="423" spans="1:8" ht="69" customHeight="1">
      <c r="A423" s="18" t="s">
        <v>202</v>
      </c>
      <c r="B423" s="13" t="s">
        <v>138</v>
      </c>
      <c r="C423" s="13" t="s">
        <v>104</v>
      </c>
      <c r="D423" s="13" t="s">
        <v>236</v>
      </c>
      <c r="E423" s="13" t="s">
        <v>209</v>
      </c>
      <c r="F423" s="48">
        <v>560.676</v>
      </c>
      <c r="G423" s="48"/>
      <c r="H423" s="48"/>
    </row>
    <row r="424" spans="1:8" ht="45" customHeight="1">
      <c r="A424" s="7" t="s">
        <v>393</v>
      </c>
      <c r="B424" s="8" t="s">
        <v>138</v>
      </c>
      <c r="C424" s="8" t="s">
        <v>135</v>
      </c>
      <c r="D424" s="8"/>
      <c r="E424" s="8" t="s">
        <v>98</v>
      </c>
      <c r="F424" s="49">
        <f aca="true" t="shared" si="15" ref="F424:H426">F425</f>
        <v>30</v>
      </c>
      <c r="G424" s="39">
        <f t="shared" si="15"/>
        <v>30</v>
      </c>
      <c r="H424" s="39">
        <f t="shared" si="15"/>
        <v>30</v>
      </c>
    </row>
    <row r="425" spans="1:8" ht="32.25" customHeight="1">
      <c r="A425" s="7" t="s">
        <v>394</v>
      </c>
      <c r="B425" s="8" t="s">
        <v>138</v>
      </c>
      <c r="C425" s="8" t="s">
        <v>135</v>
      </c>
      <c r="D425" s="8" t="s">
        <v>696</v>
      </c>
      <c r="E425" s="8" t="s">
        <v>98</v>
      </c>
      <c r="F425" s="49">
        <f t="shared" si="15"/>
        <v>30</v>
      </c>
      <c r="G425" s="39">
        <f t="shared" si="15"/>
        <v>30</v>
      </c>
      <c r="H425" s="39">
        <f t="shared" si="15"/>
        <v>30</v>
      </c>
    </row>
    <row r="426" spans="1:8" ht="33" customHeight="1">
      <c r="A426" s="7" t="s">
        <v>395</v>
      </c>
      <c r="B426" s="8" t="s">
        <v>138</v>
      </c>
      <c r="C426" s="8" t="s">
        <v>135</v>
      </c>
      <c r="D426" s="8" t="s">
        <v>396</v>
      </c>
      <c r="E426" s="8" t="s">
        <v>98</v>
      </c>
      <c r="F426" s="49">
        <f t="shared" si="15"/>
        <v>30</v>
      </c>
      <c r="G426" s="39">
        <f t="shared" si="15"/>
        <v>30</v>
      </c>
      <c r="H426" s="39">
        <f t="shared" si="15"/>
        <v>30</v>
      </c>
    </row>
    <row r="427" spans="1:8" ht="38.25">
      <c r="A427" s="7" t="s">
        <v>115</v>
      </c>
      <c r="B427" s="8" t="s">
        <v>138</v>
      </c>
      <c r="C427" s="8" t="s">
        <v>135</v>
      </c>
      <c r="D427" s="8" t="s">
        <v>396</v>
      </c>
      <c r="E427" s="8" t="s">
        <v>116</v>
      </c>
      <c r="F427" s="49">
        <v>30</v>
      </c>
      <c r="G427" s="39">
        <v>30</v>
      </c>
      <c r="H427" s="39">
        <v>30</v>
      </c>
    </row>
    <row r="428" spans="1:8" ht="35.25" customHeight="1">
      <c r="A428" s="7" t="s">
        <v>397</v>
      </c>
      <c r="B428" s="8" t="s">
        <v>138</v>
      </c>
      <c r="C428" s="8" t="s">
        <v>138</v>
      </c>
      <c r="D428" s="8"/>
      <c r="E428" s="8" t="s">
        <v>98</v>
      </c>
      <c r="F428" s="48">
        <f>F429+F444+F453+F451+F460</f>
        <v>54608.045000000006</v>
      </c>
      <c r="G428" s="39">
        <f>G429+G444+G453</f>
        <v>66527.28</v>
      </c>
      <c r="H428" s="39">
        <f>H429+H444+H453</f>
        <v>69533.57999999999</v>
      </c>
    </row>
    <row r="429" spans="1:8" ht="35.25" customHeight="1">
      <c r="A429" s="7" t="s">
        <v>398</v>
      </c>
      <c r="B429" s="8" t="s">
        <v>138</v>
      </c>
      <c r="C429" s="8" t="s">
        <v>138</v>
      </c>
      <c r="D429" s="8" t="s">
        <v>697</v>
      </c>
      <c r="E429" s="8" t="s">
        <v>98</v>
      </c>
      <c r="F429" s="49">
        <f>F430+F432</f>
        <v>38817.880000000005</v>
      </c>
      <c r="G429" s="39">
        <f>G430+G432</f>
        <v>34462.6</v>
      </c>
      <c r="H429" s="39">
        <f>H430+H432</f>
        <v>37468.899999999994</v>
      </c>
    </row>
    <row r="430" spans="1:8" ht="51">
      <c r="A430" s="7" t="s">
        <v>399</v>
      </c>
      <c r="B430" s="8" t="s">
        <v>138</v>
      </c>
      <c r="C430" s="8" t="s">
        <v>138</v>
      </c>
      <c r="D430" s="8" t="s">
        <v>400</v>
      </c>
      <c r="E430" s="8" t="s">
        <v>98</v>
      </c>
      <c r="F430" s="49">
        <f>F431</f>
        <v>93.1</v>
      </c>
      <c r="G430" s="39">
        <f>G431</f>
        <v>100</v>
      </c>
      <c r="H430" s="39">
        <f>H431</f>
        <v>100</v>
      </c>
    </row>
    <row r="431" spans="1:8" ht="31.5" customHeight="1">
      <c r="A431" s="7" t="s">
        <v>130</v>
      </c>
      <c r="B431" s="8" t="s">
        <v>138</v>
      </c>
      <c r="C431" s="8" t="s">
        <v>138</v>
      </c>
      <c r="D431" s="8" t="s">
        <v>400</v>
      </c>
      <c r="E431" s="8" t="s">
        <v>131</v>
      </c>
      <c r="F431" s="49">
        <f>100-6.9</f>
        <v>93.1</v>
      </c>
      <c r="G431" s="39">
        <v>100</v>
      </c>
      <c r="H431" s="39">
        <v>100</v>
      </c>
    </row>
    <row r="432" spans="1:8" ht="30.75" customHeight="1">
      <c r="A432" s="7" t="s">
        <v>175</v>
      </c>
      <c r="B432" s="8" t="s">
        <v>138</v>
      </c>
      <c r="C432" s="8" t="s">
        <v>138</v>
      </c>
      <c r="D432" s="8" t="s">
        <v>698</v>
      </c>
      <c r="E432" s="8" t="s">
        <v>98</v>
      </c>
      <c r="F432" s="49">
        <f>F433+F440+F442</f>
        <v>38724.780000000006</v>
      </c>
      <c r="G432" s="39">
        <f>G433+G440+G442</f>
        <v>34362.6</v>
      </c>
      <c r="H432" s="39">
        <f>H433+H440+H442</f>
        <v>37368.899999999994</v>
      </c>
    </row>
    <row r="433" spans="1:8" ht="67.5" customHeight="1">
      <c r="A433" s="7" t="s">
        <v>401</v>
      </c>
      <c r="B433" s="8" t="s">
        <v>138</v>
      </c>
      <c r="C433" s="8" t="s">
        <v>138</v>
      </c>
      <c r="D433" s="8" t="s">
        <v>402</v>
      </c>
      <c r="E433" s="8" t="s">
        <v>98</v>
      </c>
      <c r="F433" s="49">
        <f>F434+F435+F436+F437+F438+F439</f>
        <v>38654.780000000006</v>
      </c>
      <c r="G433" s="39">
        <f>G434+G435+G436+G437+G438+G439</f>
        <v>34292.6</v>
      </c>
      <c r="H433" s="39">
        <f>H434+H435+H436+H437+H438+H439</f>
        <v>37298.899999999994</v>
      </c>
    </row>
    <row r="434" spans="1:8" ht="21" customHeight="1">
      <c r="A434" s="7" t="s">
        <v>107</v>
      </c>
      <c r="B434" s="8" t="s">
        <v>138</v>
      </c>
      <c r="C434" s="8" t="s">
        <v>138</v>
      </c>
      <c r="D434" s="8" t="s">
        <v>402</v>
      </c>
      <c r="E434" s="8" t="s">
        <v>178</v>
      </c>
      <c r="F434" s="49">
        <f>16718.8-247.2+179+542-280+16.7+61-120</f>
        <v>16870.3</v>
      </c>
      <c r="G434" s="39">
        <v>16718.8</v>
      </c>
      <c r="H434" s="39">
        <v>16718.8</v>
      </c>
    </row>
    <row r="435" spans="1:8" ht="42.75" customHeight="1">
      <c r="A435" s="7" t="s">
        <v>119</v>
      </c>
      <c r="B435" s="8" t="s">
        <v>138</v>
      </c>
      <c r="C435" s="8" t="s">
        <v>138</v>
      </c>
      <c r="D435" s="8" t="s">
        <v>402</v>
      </c>
      <c r="E435" s="8" t="s">
        <v>120</v>
      </c>
      <c r="F435" s="49">
        <f>529-25.5+6.2-5</f>
        <v>504.7</v>
      </c>
      <c r="G435" s="39">
        <v>478</v>
      </c>
      <c r="H435" s="39">
        <v>489</v>
      </c>
    </row>
    <row r="436" spans="1:8" ht="39" customHeight="1">
      <c r="A436" s="7" t="s">
        <v>115</v>
      </c>
      <c r="B436" s="8" t="s">
        <v>138</v>
      </c>
      <c r="C436" s="8" t="s">
        <v>138</v>
      </c>
      <c r="D436" s="8" t="s">
        <v>402</v>
      </c>
      <c r="E436" s="8" t="s">
        <v>116</v>
      </c>
      <c r="F436" s="49">
        <f>19201.88+500+927.4+300+176-250.8+439+19.2+4.6-228.2</f>
        <v>21089.08</v>
      </c>
      <c r="G436" s="39">
        <v>16837.8</v>
      </c>
      <c r="H436" s="39">
        <v>19833.1</v>
      </c>
    </row>
    <row r="437" spans="1:8" ht="38.25">
      <c r="A437" s="7" t="s">
        <v>157</v>
      </c>
      <c r="B437" s="8" t="s">
        <v>138</v>
      </c>
      <c r="C437" s="8" t="s">
        <v>138</v>
      </c>
      <c r="D437" s="8" t="s">
        <v>402</v>
      </c>
      <c r="E437" s="8" t="s">
        <v>158</v>
      </c>
      <c r="F437" s="49">
        <f>170-30-21.7</f>
        <v>118.3</v>
      </c>
      <c r="G437" s="39">
        <v>170</v>
      </c>
      <c r="H437" s="39">
        <v>170</v>
      </c>
    </row>
    <row r="438" spans="1:8" ht="21.75" customHeight="1">
      <c r="A438" s="7" t="s">
        <v>403</v>
      </c>
      <c r="B438" s="8" t="s">
        <v>138</v>
      </c>
      <c r="C438" s="8" t="s">
        <v>138</v>
      </c>
      <c r="D438" s="8" t="s">
        <v>402</v>
      </c>
      <c r="E438" s="8" t="s">
        <v>121</v>
      </c>
      <c r="F438" s="49">
        <v>45</v>
      </c>
      <c r="G438" s="39">
        <v>45</v>
      </c>
      <c r="H438" s="39">
        <v>45</v>
      </c>
    </row>
    <row r="439" spans="1:8" ht="30" customHeight="1">
      <c r="A439" s="7" t="s">
        <v>132</v>
      </c>
      <c r="B439" s="8" t="s">
        <v>138</v>
      </c>
      <c r="C439" s="8" t="s">
        <v>138</v>
      </c>
      <c r="D439" s="8" t="s">
        <v>402</v>
      </c>
      <c r="E439" s="8" t="s">
        <v>133</v>
      </c>
      <c r="F439" s="49">
        <f>43-15.6</f>
        <v>27.4</v>
      </c>
      <c r="G439" s="39">
        <v>43</v>
      </c>
      <c r="H439" s="39">
        <v>43</v>
      </c>
    </row>
    <row r="440" spans="1:8" ht="71.25" customHeight="1">
      <c r="A440" s="7" t="s">
        <v>412</v>
      </c>
      <c r="B440" s="8" t="s">
        <v>138</v>
      </c>
      <c r="C440" s="8" t="s">
        <v>138</v>
      </c>
      <c r="D440" s="8" t="s">
        <v>413</v>
      </c>
      <c r="E440" s="8" t="s">
        <v>98</v>
      </c>
      <c r="F440" s="49">
        <f>F441</f>
        <v>70</v>
      </c>
      <c r="G440" s="39">
        <f>G441</f>
        <v>70</v>
      </c>
      <c r="H440" s="39">
        <f>H441</f>
        <v>70</v>
      </c>
    </row>
    <row r="441" spans="1:8" ht="38.25">
      <c r="A441" s="7" t="s">
        <v>115</v>
      </c>
      <c r="B441" s="8" t="s">
        <v>138</v>
      </c>
      <c r="C441" s="8" t="s">
        <v>138</v>
      </c>
      <c r="D441" s="8" t="s">
        <v>413</v>
      </c>
      <c r="E441" s="8" t="s">
        <v>116</v>
      </c>
      <c r="F441" s="49">
        <v>70</v>
      </c>
      <c r="G441" s="39">
        <v>70</v>
      </c>
      <c r="H441" s="39">
        <v>70</v>
      </c>
    </row>
    <row r="442" spans="1:8" ht="43.5" customHeight="1">
      <c r="A442" s="7" t="s">
        <v>340</v>
      </c>
      <c r="B442" s="8" t="s">
        <v>138</v>
      </c>
      <c r="C442" s="8" t="s">
        <v>138</v>
      </c>
      <c r="D442" s="8" t="s">
        <v>419</v>
      </c>
      <c r="E442" s="8" t="s">
        <v>98</v>
      </c>
      <c r="F442" s="49">
        <f>F443</f>
        <v>0</v>
      </c>
      <c r="G442" s="39">
        <f>G443</f>
        <v>0</v>
      </c>
      <c r="H442" s="39">
        <f>H443</f>
        <v>0</v>
      </c>
    </row>
    <row r="443" spans="1:8" ht="45.75" customHeight="1">
      <c r="A443" s="7" t="s">
        <v>115</v>
      </c>
      <c r="B443" s="8" t="s">
        <v>138</v>
      </c>
      <c r="C443" s="8" t="s">
        <v>138</v>
      </c>
      <c r="D443" s="8" t="s">
        <v>419</v>
      </c>
      <c r="E443" s="8" t="s">
        <v>116</v>
      </c>
      <c r="F443" s="49">
        <f>4000-4000</f>
        <v>0</v>
      </c>
      <c r="G443" s="39">
        <v>0</v>
      </c>
      <c r="H443" s="39">
        <v>0</v>
      </c>
    </row>
    <row r="444" spans="1:8" ht="33.75" customHeight="1">
      <c r="A444" s="7" t="s">
        <v>380</v>
      </c>
      <c r="B444" s="8" t="s">
        <v>138</v>
      </c>
      <c r="C444" s="8" t="s">
        <v>138</v>
      </c>
      <c r="D444" s="8" t="s">
        <v>694</v>
      </c>
      <c r="E444" s="8" t="s">
        <v>98</v>
      </c>
      <c r="F444" s="49">
        <f>F445</f>
        <v>12303.531000000003</v>
      </c>
      <c r="G444" s="39">
        <f aca="true" t="shared" si="16" ref="F444:H445">G445</f>
        <v>12394.68</v>
      </c>
      <c r="H444" s="39">
        <f t="shared" si="16"/>
        <v>12394.68</v>
      </c>
    </row>
    <row r="445" spans="1:8" ht="30.75" customHeight="1">
      <c r="A445" s="7" t="s">
        <v>175</v>
      </c>
      <c r="B445" s="8" t="s">
        <v>138</v>
      </c>
      <c r="C445" s="8" t="s">
        <v>138</v>
      </c>
      <c r="D445" s="8" t="s">
        <v>699</v>
      </c>
      <c r="E445" s="8" t="s">
        <v>98</v>
      </c>
      <c r="F445" s="49">
        <f t="shared" si="16"/>
        <v>12303.531000000003</v>
      </c>
      <c r="G445" s="39">
        <f t="shared" si="16"/>
        <v>12394.68</v>
      </c>
      <c r="H445" s="39">
        <f t="shared" si="16"/>
        <v>12394.68</v>
      </c>
    </row>
    <row r="446" spans="1:8" ht="55.5" customHeight="1">
      <c r="A446" s="7" t="s">
        <v>700</v>
      </c>
      <c r="B446" s="8" t="s">
        <v>138</v>
      </c>
      <c r="C446" s="8" t="s">
        <v>138</v>
      </c>
      <c r="D446" s="8" t="s">
        <v>420</v>
      </c>
      <c r="E446" s="8" t="s">
        <v>98</v>
      </c>
      <c r="F446" s="49">
        <f>F448+F447+F450+F449</f>
        <v>12303.531000000003</v>
      </c>
      <c r="G446" s="39">
        <f>G448</f>
        <v>12394.68</v>
      </c>
      <c r="H446" s="39">
        <f>H448</f>
        <v>12394.68</v>
      </c>
    </row>
    <row r="447" spans="1:8" ht="20.25" customHeight="1">
      <c r="A447" s="7" t="s">
        <v>107</v>
      </c>
      <c r="B447" s="8" t="s">
        <v>138</v>
      </c>
      <c r="C447" s="8" t="s">
        <v>138</v>
      </c>
      <c r="D447" s="8" t="s">
        <v>210</v>
      </c>
      <c r="E447" s="8" t="s">
        <v>178</v>
      </c>
      <c r="F447" s="49">
        <f>1200</f>
        <v>1200</v>
      </c>
      <c r="G447" s="39"/>
      <c r="H447" s="39"/>
    </row>
    <row r="448" spans="1:8" ht="42" customHeight="1">
      <c r="A448" s="7" t="s">
        <v>115</v>
      </c>
      <c r="B448" s="8" t="s">
        <v>138</v>
      </c>
      <c r="C448" s="8" t="s">
        <v>138</v>
      </c>
      <c r="D448" s="8" t="s">
        <v>420</v>
      </c>
      <c r="E448" s="8" t="s">
        <v>116</v>
      </c>
      <c r="F448" s="49">
        <f>9807.1+934.6-62.469-400-752.8-798.9</f>
        <v>8727.531000000003</v>
      </c>
      <c r="G448" s="39">
        <v>12394.68</v>
      </c>
      <c r="H448" s="39">
        <v>12394.68</v>
      </c>
    </row>
    <row r="449" spans="1:8" ht="31.5" customHeight="1">
      <c r="A449" s="7" t="s">
        <v>593</v>
      </c>
      <c r="B449" s="8" t="s">
        <v>138</v>
      </c>
      <c r="C449" s="8" t="s">
        <v>138</v>
      </c>
      <c r="D449" s="8" t="s">
        <v>420</v>
      </c>
      <c r="E449" s="8" t="s">
        <v>594</v>
      </c>
      <c r="F449" s="49">
        <f>15.2</f>
        <v>15.2</v>
      </c>
      <c r="G449" s="39"/>
      <c r="H449" s="39"/>
    </row>
    <row r="450" spans="1:8" ht="27.75" customHeight="1">
      <c r="A450" s="7" t="s">
        <v>170</v>
      </c>
      <c r="B450" s="8" t="s">
        <v>138</v>
      </c>
      <c r="C450" s="8" t="s">
        <v>138</v>
      </c>
      <c r="D450" s="8" t="s">
        <v>420</v>
      </c>
      <c r="E450" s="8" t="s">
        <v>171</v>
      </c>
      <c r="F450" s="49">
        <f>1450+400+752.9-242.1</f>
        <v>2360.8</v>
      </c>
      <c r="G450" s="39"/>
      <c r="H450" s="39"/>
    </row>
    <row r="451" spans="1:8" ht="39" customHeight="1">
      <c r="A451" s="18" t="s">
        <v>333</v>
      </c>
      <c r="B451" s="13" t="s">
        <v>138</v>
      </c>
      <c r="C451" s="13" t="s">
        <v>138</v>
      </c>
      <c r="D451" s="13" t="s">
        <v>332</v>
      </c>
      <c r="E451" s="13"/>
      <c r="F451" s="48">
        <f>F452</f>
        <v>2906.134</v>
      </c>
      <c r="G451" s="48"/>
      <c r="H451" s="48"/>
    </row>
    <row r="452" spans="1:8" ht="80.25" customHeight="1">
      <c r="A452" s="7" t="s">
        <v>208</v>
      </c>
      <c r="B452" s="8" t="s">
        <v>138</v>
      </c>
      <c r="C452" s="8" t="s">
        <v>138</v>
      </c>
      <c r="D452" s="8" t="s">
        <v>332</v>
      </c>
      <c r="E452" s="8" t="s">
        <v>209</v>
      </c>
      <c r="F452" s="49">
        <f>2506.134+400</f>
        <v>2906.134</v>
      </c>
      <c r="G452" s="39"/>
      <c r="H452" s="39"/>
    </row>
    <row r="453" spans="1:8" ht="18" customHeight="1">
      <c r="A453" s="7" t="s">
        <v>232</v>
      </c>
      <c r="B453" s="8" t="s">
        <v>138</v>
      </c>
      <c r="C453" s="8" t="s">
        <v>138</v>
      </c>
      <c r="D453" s="8" t="s">
        <v>675</v>
      </c>
      <c r="E453" s="8" t="s">
        <v>98</v>
      </c>
      <c r="F453" s="49">
        <f>F454+F458</f>
        <v>580.5</v>
      </c>
      <c r="G453" s="39">
        <f>G454+G458</f>
        <v>19670</v>
      </c>
      <c r="H453" s="39">
        <f>H454+H458</f>
        <v>19670</v>
      </c>
    </row>
    <row r="454" spans="1:8" ht="57" customHeight="1">
      <c r="A454" s="7" t="s">
        <v>701</v>
      </c>
      <c r="B454" s="8" t="s">
        <v>138</v>
      </c>
      <c r="C454" s="8" t="s">
        <v>138</v>
      </c>
      <c r="D454" s="8" t="s">
        <v>695</v>
      </c>
      <c r="E454" s="8" t="s">
        <v>98</v>
      </c>
      <c r="F454" s="49">
        <f aca="true" t="shared" si="17" ref="F454:H455">F455</f>
        <v>0</v>
      </c>
      <c r="G454" s="39">
        <f t="shared" si="17"/>
        <v>19424</v>
      </c>
      <c r="H454" s="39">
        <f t="shared" si="17"/>
        <v>19424</v>
      </c>
    </row>
    <row r="455" spans="1:8" ht="93.75" customHeight="1">
      <c r="A455" s="7" t="s">
        <v>425</v>
      </c>
      <c r="B455" s="8" t="s">
        <v>138</v>
      </c>
      <c r="C455" s="8" t="s">
        <v>138</v>
      </c>
      <c r="D455" s="8" t="s">
        <v>426</v>
      </c>
      <c r="E455" s="8" t="s">
        <v>98</v>
      </c>
      <c r="F455" s="49">
        <f t="shared" si="17"/>
        <v>0</v>
      </c>
      <c r="G455" s="39">
        <f t="shared" si="17"/>
        <v>19424</v>
      </c>
      <c r="H455" s="39">
        <f t="shared" si="17"/>
        <v>19424</v>
      </c>
    </row>
    <row r="456" spans="1:8" ht="40.5" customHeight="1">
      <c r="A456" s="7" t="s">
        <v>115</v>
      </c>
      <c r="B456" s="8" t="s">
        <v>138</v>
      </c>
      <c r="C456" s="8" t="s">
        <v>138</v>
      </c>
      <c r="D456" s="8" t="s">
        <v>426</v>
      </c>
      <c r="E456" s="8" t="s">
        <v>116</v>
      </c>
      <c r="F456" s="49">
        <f>19424-19424</f>
        <v>0</v>
      </c>
      <c r="G456" s="39">
        <v>19424</v>
      </c>
      <c r="H456" s="39">
        <v>19424</v>
      </c>
    </row>
    <row r="457" spans="1:8" ht="38.25">
      <c r="A457" s="7" t="s">
        <v>562</v>
      </c>
      <c r="B457" s="8" t="s">
        <v>138</v>
      </c>
      <c r="C457" s="8" t="s">
        <v>138</v>
      </c>
      <c r="D457" s="8" t="s">
        <v>563</v>
      </c>
      <c r="E457" s="8"/>
      <c r="F457" s="49">
        <f>F458</f>
        <v>580.5</v>
      </c>
      <c r="G457" s="39"/>
      <c r="H457" s="39"/>
    </row>
    <row r="458" spans="1:8" ht="21" customHeight="1">
      <c r="A458" s="7" t="s">
        <v>427</v>
      </c>
      <c r="B458" s="8" t="s">
        <v>138</v>
      </c>
      <c r="C458" s="8" t="s">
        <v>138</v>
      </c>
      <c r="D458" s="8" t="s">
        <v>428</v>
      </c>
      <c r="E458" s="8" t="s">
        <v>98</v>
      </c>
      <c r="F458" s="49">
        <f>F459</f>
        <v>580.5</v>
      </c>
      <c r="G458" s="39">
        <f>G459</f>
        <v>246</v>
      </c>
      <c r="H458" s="39">
        <f>H459</f>
        <v>246</v>
      </c>
    </row>
    <row r="459" spans="1:8" ht="38.25">
      <c r="A459" s="7" t="s">
        <v>115</v>
      </c>
      <c r="B459" s="8" t="s">
        <v>138</v>
      </c>
      <c r="C459" s="8" t="s">
        <v>138</v>
      </c>
      <c r="D459" s="8" t="s">
        <v>428</v>
      </c>
      <c r="E459" s="8" t="s">
        <v>116</v>
      </c>
      <c r="F459" s="49">
        <f>508.5+72</f>
        <v>580.5</v>
      </c>
      <c r="G459" s="39">
        <v>246</v>
      </c>
      <c r="H459" s="39">
        <v>246</v>
      </c>
    </row>
    <row r="460" spans="1:8" ht="38.25">
      <c r="A460" s="7" t="s">
        <v>340</v>
      </c>
      <c r="B460" s="8" t="s">
        <v>138</v>
      </c>
      <c r="C460" s="8" t="s">
        <v>138</v>
      </c>
      <c r="D460" s="8" t="s">
        <v>64</v>
      </c>
      <c r="E460" s="8"/>
      <c r="F460" s="49">
        <f>F461</f>
        <v>0</v>
      </c>
      <c r="G460" s="39"/>
      <c r="H460" s="39"/>
    </row>
    <row r="461" spans="1:8" ht="69" customHeight="1">
      <c r="A461" s="18" t="s">
        <v>585</v>
      </c>
      <c r="B461" s="8" t="s">
        <v>138</v>
      </c>
      <c r="C461" s="8" t="s">
        <v>138</v>
      </c>
      <c r="D461" s="8" t="s">
        <v>64</v>
      </c>
      <c r="E461" s="8" t="s">
        <v>203</v>
      </c>
      <c r="F461" s="49">
        <f>4000-2506.134-1493.866</f>
        <v>0</v>
      </c>
      <c r="G461" s="39"/>
      <c r="H461" s="39"/>
    </row>
    <row r="462" spans="1:8" ht="19.5" customHeight="1">
      <c r="A462" s="7" t="s">
        <v>429</v>
      </c>
      <c r="B462" s="8" t="s">
        <v>138</v>
      </c>
      <c r="C462" s="8" t="s">
        <v>189</v>
      </c>
      <c r="D462" s="8" t="s">
        <v>99</v>
      </c>
      <c r="E462" s="8" t="s">
        <v>98</v>
      </c>
      <c r="F462" s="49">
        <f>F463+F473+F479</f>
        <v>93228.29999999999</v>
      </c>
      <c r="G462" s="39">
        <f>G463+G473</f>
        <v>66496.92</v>
      </c>
      <c r="H462" s="39">
        <f>H463+H473</f>
        <v>66496.92</v>
      </c>
    </row>
    <row r="463" spans="1:8" ht="69" customHeight="1">
      <c r="A463" s="7" t="s">
        <v>430</v>
      </c>
      <c r="B463" s="8" t="s">
        <v>138</v>
      </c>
      <c r="C463" s="8" t="s">
        <v>189</v>
      </c>
      <c r="D463" s="8" t="s">
        <v>702</v>
      </c>
      <c r="E463" s="8" t="s">
        <v>98</v>
      </c>
      <c r="F463" s="48">
        <f>F464+F466</f>
        <v>68534.4</v>
      </c>
      <c r="G463" s="39">
        <f>G464+G466</f>
        <v>61746.92</v>
      </c>
      <c r="H463" s="39">
        <f>H464+H466</f>
        <v>61746.92</v>
      </c>
    </row>
    <row r="464" spans="1:8" ht="55.5" customHeight="1">
      <c r="A464" s="7" t="s">
        <v>399</v>
      </c>
      <c r="B464" s="8" t="s">
        <v>138</v>
      </c>
      <c r="C464" s="8" t="s">
        <v>189</v>
      </c>
      <c r="D464" s="8" t="s">
        <v>431</v>
      </c>
      <c r="E464" s="8" t="s">
        <v>98</v>
      </c>
      <c r="F464" s="49">
        <f>F465</f>
        <v>25.5</v>
      </c>
      <c r="G464" s="39">
        <f>G465</f>
        <v>50</v>
      </c>
      <c r="H464" s="39">
        <f>H465</f>
        <v>50</v>
      </c>
    </row>
    <row r="465" spans="1:8" ht="30.75" customHeight="1">
      <c r="A465" s="7" t="s">
        <v>130</v>
      </c>
      <c r="B465" s="8" t="s">
        <v>138</v>
      </c>
      <c r="C465" s="8" t="s">
        <v>189</v>
      </c>
      <c r="D465" s="8" t="s">
        <v>431</v>
      </c>
      <c r="E465" s="8" t="s">
        <v>131</v>
      </c>
      <c r="F465" s="49">
        <f>50-20.5-4</f>
        <v>25.5</v>
      </c>
      <c r="G465" s="39">
        <v>50</v>
      </c>
      <c r="H465" s="39">
        <v>50</v>
      </c>
    </row>
    <row r="466" spans="1:8" ht="33" customHeight="1">
      <c r="A466" s="7" t="s">
        <v>175</v>
      </c>
      <c r="B466" s="8" t="s">
        <v>138</v>
      </c>
      <c r="C466" s="8" t="s">
        <v>189</v>
      </c>
      <c r="D466" s="8" t="s">
        <v>703</v>
      </c>
      <c r="E466" s="8" t="s">
        <v>98</v>
      </c>
      <c r="F466" s="49">
        <f>F467</f>
        <v>68508.9</v>
      </c>
      <c r="G466" s="39">
        <f>G467</f>
        <v>61696.92</v>
      </c>
      <c r="H466" s="39">
        <f>H467</f>
        <v>61696.92</v>
      </c>
    </row>
    <row r="467" spans="1:8" ht="56.25" customHeight="1">
      <c r="A467" s="7" t="s">
        <v>432</v>
      </c>
      <c r="B467" s="8" t="s">
        <v>138</v>
      </c>
      <c r="C467" s="8" t="s">
        <v>189</v>
      </c>
      <c r="D467" s="8" t="s">
        <v>433</v>
      </c>
      <c r="E467" s="8" t="s">
        <v>98</v>
      </c>
      <c r="F467" s="49">
        <f>F468+F469+F470+F471+F472</f>
        <v>68508.9</v>
      </c>
      <c r="G467" s="39">
        <f>G468+G469+G470+G471+G472</f>
        <v>61696.92</v>
      </c>
      <c r="H467" s="39">
        <f>H468+H469+H470+H471+H472</f>
        <v>61696.92</v>
      </c>
    </row>
    <row r="468" spans="1:8" ht="18.75" customHeight="1">
      <c r="A468" s="7" t="s">
        <v>107</v>
      </c>
      <c r="B468" s="8" t="s">
        <v>138</v>
      </c>
      <c r="C468" s="8" t="s">
        <v>189</v>
      </c>
      <c r="D468" s="8" t="s">
        <v>433</v>
      </c>
      <c r="E468" s="8" t="s">
        <v>178</v>
      </c>
      <c r="F468" s="49">
        <f>23624.3+30+402.5-1350</f>
        <v>22706.8</v>
      </c>
      <c r="G468" s="39">
        <v>42169</v>
      </c>
      <c r="H468" s="39">
        <v>42169</v>
      </c>
    </row>
    <row r="469" spans="1:8" ht="41.25" customHeight="1">
      <c r="A469" s="7" t="s">
        <v>119</v>
      </c>
      <c r="B469" s="8" t="s">
        <v>138</v>
      </c>
      <c r="C469" s="8" t="s">
        <v>189</v>
      </c>
      <c r="D469" s="8" t="s">
        <v>433</v>
      </c>
      <c r="E469" s="8" t="s">
        <v>120</v>
      </c>
      <c r="F469" s="49">
        <f>399.1-20+45+1.4-2.8+1910.4</f>
        <v>2333.1</v>
      </c>
      <c r="G469" s="39">
        <v>399.1</v>
      </c>
      <c r="H469" s="39">
        <v>399.1</v>
      </c>
    </row>
    <row r="470" spans="1:8" ht="30.75" customHeight="1">
      <c r="A470" s="7" t="s">
        <v>115</v>
      </c>
      <c r="B470" s="8" t="s">
        <v>138</v>
      </c>
      <c r="C470" s="8" t="s">
        <v>189</v>
      </c>
      <c r="D470" s="8" t="s">
        <v>433</v>
      </c>
      <c r="E470" s="8" t="s">
        <v>116</v>
      </c>
      <c r="F470" s="49">
        <f>6470.5+1902.5+2087.8+466.7+1003.7-1474</f>
        <v>10457.2</v>
      </c>
      <c r="G470" s="39">
        <v>4224.32</v>
      </c>
      <c r="H470" s="39">
        <v>4224.32</v>
      </c>
    </row>
    <row r="471" spans="1:8" ht="80.25" customHeight="1">
      <c r="A471" s="7" t="s">
        <v>208</v>
      </c>
      <c r="B471" s="8" t="s">
        <v>138</v>
      </c>
      <c r="C471" s="8" t="s">
        <v>189</v>
      </c>
      <c r="D471" s="8" t="s">
        <v>433</v>
      </c>
      <c r="E471" s="8" t="s">
        <v>209</v>
      </c>
      <c r="F471" s="49">
        <f>30695.4+1.7+22.5-2+0.3+1752+514.9</f>
        <v>32984.8</v>
      </c>
      <c r="G471" s="39">
        <v>14904.5</v>
      </c>
      <c r="H471" s="39">
        <v>14904.5</v>
      </c>
    </row>
    <row r="472" spans="1:8" ht="31.5" customHeight="1">
      <c r="A472" s="7" t="s">
        <v>170</v>
      </c>
      <c r="B472" s="8" t="s">
        <v>138</v>
      </c>
      <c r="C472" s="8" t="s">
        <v>189</v>
      </c>
      <c r="D472" s="8" t="s">
        <v>433</v>
      </c>
      <c r="E472" s="8" t="s">
        <v>171</v>
      </c>
      <c r="F472" s="49">
        <v>27</v>
      </c>
      <c r="G472" s="39">
        <v>0</v>
      </c>
      <c r="H472" s="39">
        <v>0</v>
      </c>
    </row>
    <row r="473" spans="1:8" ht="25.5">
      <c r="A473" s="7" t="s">
        <v>199</v>
      </c>
      <c r="B473" s="8" t="s">
        <v>138</v>
      </c>
      <c r="C473" s="8" t="s">
        <v>189</v>
      </c>
      <c r="D473" s="8" t="s">
        <v>674</v>
      </c>
      <c r="E473" s="8" t="s">
        <v>98</v>
      </c>
      <c r="F473" s="48">
        <f>F474</f>
        <v>4839.9</v>
      </c>
      <c r="G473" s="39">
        <f>G474</f>
        <v>4750</v>
      </c>
      <c r="H473" s="39">
        <f>H474</f>
        <v>4750</v>
      </c>
    </row>
    <row r="474" spans="1:8" ht="39" customHeight="1">
      <c r="A474" s="7" t="s">
        <v>434</v>
      </c>
      <c r="B474" s="8" t="s">
        <v>138</v>
      </c>
      <c r="C474" s="8" t="s">
        <v>189</v>
      </c>
      <c r="D474" s="8" t="s">
        <v>435</v>
      </c>
      <c r="E474" s="8" t="s">
        <v>98</v>
      </c>
      <c r="F474" s="49">
        <f>F475+F476+F478+F477</f>
        <v>4839.9</v>
      </c>
      <c r="G474" s="39">
        <f>G475+G476+G478</f>
        <v>4750</v>
      </c>
      <c r="H474" s="39">
        <f>H475+H476+H478</f>
        <v>4750</v>
      </c>
    </row>
    <row r="475" spans="1:8" ht="18" customHeight="1">
      <c r="A475" s="7" t="s">
        <v>107</v>
      </c>
      <c r="B475" s="8" t="s">
        <v>138</v>
      </c>
      <c r="C475" s="8" t="s">
        <v>189</v>
      </c>
      <c r="D475" s="8" t="s">
        <v>435</v>
      </c>
      <c r="E475" s="8" t="s">
        <v>178</v>
      </c>
      <c r="F475" s="49">
        <f>4022+99.9</f>
        <v>4121.9</v>
      </c>
      <c r="G475" s="39">
        <v>4022</v>
      </c>
      <c r="H475" s="39">
        <v>4022</v>
      </c>
    </row>
    <row r="476" spans="1:8" ht="27" customHeight="1">
      <c r="A476" s="7" t="s">
        <v>126</v>
      </c>
      <c r="B476" s="8" t="s">
        <v>138</v>
      </c>
      <c r="C476" s="8" t="s">
        <v>189</v>
      </c>
      <c r="D476" s="8" t="s">
        <v>435</v>
      </c>
      <c r="E476" s="8" t="s">
        <v>185</v>
      </c>
      <c r="F476" s="49">
        <f>403-20-135-47</f>
        <v>201</v>
      </c>
      <c r="G476" s="39">
        <v>653</v>
      </c>
      <c r="H476" s="39">
        <v>653</v>
      </c>
    </row>
    <row r="477" spans="1:8" ht="38.25" customHeight="1">
      <c r="A477" s="7" t="s">
        <v>119</v>
      </c>
      <c r="B477" s="8" t="s">
        <v>138</v>
      </c>
      <c r="C477" s="8" t="s">
        <v>189</v>
      </c>
      <c r="D477" s="8" t="s">
        <v>435</v>
      </c>
      <c r="E477" s="8" t="s">
        <v>120</v>
      </c>
      <c r="F477" s="49">
        <f>16.8</f>
        <v>16.8</v>
      </c>
      <c r="G477" s="39"/>
      <c r="H477" s="39"/>
    </row>
    <row r="478" spans="1:8" ht="38.25">
      <c r="A478" s="7" t="s">
        <v>115</v>
      </c>
      <c r="B478" s="8" t="s">
        <v>138</v>
      </c>
      <c r="C478" s="8" t="s">
        <v>189</v>
      </c>
      <c r="D478" s="8" t="s">
        <v>435</v>
      </c>
      <c r="E478" s="8" t="s">
        <v>116</v>
      </c>
      <c r="F478" s="49">
        <f>325+20+135+20.2</f>
        <v>500.2</v>
      </c>
      <c r="G478" s="39">
        <v>75</v>
      </c>
      <c r="H478" s="39">
        <v>75</v>
      </c>
    </row>
    <row r="479" spans="1:8" ht="12.75">
      <c r="A479" s="7" t="s">
        <v>232</v>
      </c>
      <c r="B479" s="8" t="s">
        <v>138</v>
      </c>
      <c r="C479" s="8" t="s">
        <v>189</v>
      </c>
      <c r="D479" s="8" t="s">
        <v>675</v>
      </c>
      <c r="E479" s="8"/>
      <c r="F479" s="49">
        <f>F480</f>
        <v>19854</v>
      </c>
      <c r="G479" s="39"/>
      <c r="H479" s="39"/>
    </row>
    <row r="480" spans="1:8" ht="66" customHeight="1">
      <c r="A480" s="7" t="s">
        <v>701</v>
      </c>
      <c r="B480" s="8" t="s">
        <v>138</v>
      </c>
      <c r="C480" s="8" t="s">
        <v>189</v>
      </c>
      <c r="D480" s="8" t="s">
        <v>695</v>
      </c>
      <c r="E480" s="8" t="s">
        <v>98</v>
      </c>
      <c r="F480" s="48">
        <f>F481+F485+F488</f>
        <v>19854</v>
      </c>
      <c r="G480" s="39"/>
      <c r="H480" s="39"/>
    </row>
    <row r="481" spans="1:8" ht="91.5" customHeight="1">
      <c r="A481" s="7" t="s">
        <v>425</v>
      </c>
      <c r="B481" s="8" t="s">
        <v>138</v>
      </c>
      <c r="C481" s="8" t="s">
        <v>189</v>
      </c>
      <c r="D481" s="8" t="s">
        <v>426</v>
      </c>
      <c r="E481" s="8" t="s">
        <v>98</v>
      </c>
      <c r="F481" s="49">
        <f>F482+F483+F484</f>
        <v>17432</v>
      </c>
      <c r="G481" s="39"/>
      <c r="H481" s="39"/>
    </row>
    <row r="482" spans="1:8" ht="39" customHeight="1">
      <c r="A482" s="7" t="s">
        <v>115</v>
      </c>
      <c r="B482" s="8" t="s">
        <v>138</v>
      </c>
      <c r="C482" s="8" t="s">
        <v>189</v>
      </c>
      <c r="D482" s="8" t="s">
        <v>426</v>
      </c>
      <c r="E482" s="8" t="s">
        <v>116</v>
      </c>
      <c r="F482" s="49">
        <f>19424+672-1000-2100-2664</f>
        <v>14332</v>
      </c>
      <c r="G482" s="39"/>
      <c r="H482" s="39"/>
    </row>
    <row r="483" spans="1:8" ht="78.75" customHeight="1">
      <c r="A483" s="7" t="s">
        <v>208</v>
      </c>
      <c r="B483" s="8" t="s">
        <v>138</v>
      </c>
      <c r="C483" s="8" t="s">
        <v>189</v>
      </c>
      <c r="D483" s="8" t="s">
        <v>426</v>
      </c>
      <c r="E483" s="8" t="s">
        <v>209</v>
      </c>
      <c r="F483" s="49">
        <f>2100-2100</f>
        <v>0</v>
      </c>
      <c r="G483" s="39"/>
      <c r="H483" s="39"/>
    </row>
    <row r="484" spans="1:8" ht="27" customHeight="1">
      <c r="A484" s="7" t="s">
        <v>170</v>
      </c>
      <c r="B484" s="8" t="s">
        <v>138</v>
      </c>
      <c r="C484" s="8" t="s">
        <v>189</v>
      </c>
      <c r="D484" s="8" t="s">
        <v>426</v>
      </c>
      <c r="E484" s="8" t="s">
        <v>171</v>
      </c>
      <c r="F484" s="49">
        <f>1000+2100</f>
        <v>3100</v>
      </c>
      <c r="G484" s="39"/>
      <c r="H484" s="39"/>
    </row>
    <row r="485" spans="1:8" ht="51">
      <c r="A485" s="7" t="s">
        <v>385</v>
      </c>
      <c r="B485" s="8" t="s">
        <v>138</v>
      </c>
      <c r="C485" s="8" t="s">
        <v>189</v>
      </c>
      <c r="D485" s="8" t="s">
        <v>386</v>
      </c>
      <c r="E485" s="8" t="s">
        <v>98</v>
      </c>
      <c r="F485" s="49">
        <f>F487+F486</f>
        <v>1402</v>
      </c>
      <c r="G485" s="39"/>
      <c r="H485" s="39"/>
    </row>
    <row r="486" spans="1:8" ht="76.5">
      <c r="A486" s="7" t="s">
        <v>208</v>
      </c>
      <c r="B486" s="8" t="s">
        <v>138</v>
      </c>
      <c r="C486" s="8" t="s">
        <v>189</v>
      </c>
      <c r="D486" s="8" t="s">
        <v>706</v>
      </c>
      <c r="E486" s="8" t="s">
        <v>209</v>
      </c>
      <c r="F486" s="49">
        <f>58-58</f>
        <v>0</v>
      </c>
      <c r="G486" s="39"/>
      <c r="H486" s="39"/>
    </row>
    <row r="487" spans="1:8" ht="25.5">
      <c r="A487" s="7" t="s">
        <v>170</v>
      </c>
      <c r="B487" s="8" t="s">
        <v>138</v>
      </c>
      <c r="C487" s="8" t="s">
        <v>189</v>
      </c>
      <c r="D487" s="8" t="s">
        <v>386</v>
      </c>
      <c r="E487" s="8" t="s">
        <v>171</v>
      </c>
      <c r="F487" s="49">
        <f>3726-3459+1042+58+35</f>
        <v>1402</v>
      </c>
      <c r="G487" s="39"/>
      <c r="H487" s="39"/>
    </row>
    <row r="488" spans="1:8" ht="38.25">
      <c r="A488" s="7" t="s">
        <v>387</v>
      </c>
      <c r="B488" s="8" t="s">
        <v>138</v>
      </c>
      <c r="C488" s="8" t="s">
        <v>189</v>
      </c>
      <c r="D488" s="8" t="s">
        <v>541</v>
      </c>
      <c r="E488" s="8"/>
      <c r="F488" s="49">
        <f>F490+F489</f>
        <v>1020</v>
      </c>
      <c r="G488" s="39"/>
      <c r="H488" s="39"/>
    </row>
    <row r="489" spans="1:8" ht="39" customHeight="1">
      <c r="A489" s="7" t="s">
        <v>115</v>
      </c>
      <c r="B489" s="8" t="s">
        <v>138</v>
      </c>
      <c r="C489" s="8" t="s">
        <v>189</v>
      </c>
      <c r="D489" s="8" t="s">
        <v>541</v>
      </c>
      <c r="E489" s="8" t="s">
        <v>116</v>
      </c>
      <c r="F489" s="49">
        <f>76.9+2</f>
        <v>78.9</v>
      </c>
      <c r="G489" s="39"/>
      <c r="H489" s="39"/>
    </row>
    <row r="490" spans="1:8" ht="25.5">
      <c r="A490" s="7" t="s">
        <v>170</v>
      </c>
      <c r="B490" s="8" t="s">
        <v>138</v>
      </c>
      <c r="C490" s="8" t="s">
        <v>189</v>
      </c>
      <c r="D490" s="8" t="s">
        <v>541</v>
      </c>
      <c r="E490" s="8" t="s">
        <v>171</v>
      </c>
      <c r="F490" s="48">
        <f>1050-76.9-32</f>
        <v>941.1</v>
      </c>
      <c r="G490" s="39"/>
      <c r="H490" s="39"/>
    </row>
    <row r="491" spans="1:8" ht="26.25" customHeight="1">
      <c r="A491" s="17" t="s">
        <v>436</v>
      </c>
      <c r="B491" s="16" t="s">
        <v>437</v>
      </c>
      <c r="C491" s="16" t="s">
        <v>98</v>
      </c>
      <c r="D491" s="16" t="s">
        <v>99</v>
      </c>
      <c r="E491" s="16" t="s">
        <v>98</v>
      </c>
      <c r="F491" s="67">
        <f>F492+F557</f>
        <v>120422.78999999998</v>
      </c>
      <c r="G491" s="43">
        <f>G492+G557</f>
        <v>102132.7</v>
      </c>
      <c r="H491" s="43">
        <f>H492+H557</f>
        <v>102132.7</v>
      </c>
    </row>
    <row r="492" spans="1:8" ht="15" customHeight="1">
      <c r="A492" s="7" t="s">
        <v>438</v>
      </c>
      <c r="B492" s="8" t="s">
        <v>437</v>
      </c>
      <c r="C492" s="8" t="s">
        <v>102</v>
      </c>
      <c r="D492" s="8"/>
      <c r="E492" s="8" t="s">
        <v>98</v>
      </c>
      <c r="F492" s="49">
        <f>F493+F497+F501+F526+F533+F541+F547+F553+F555+F556</f>
        <v>114064.99999999999</v>
      </c>
      <c r="G492" s="39">
        <f>G493+G497+G501+G526+G533+G541+G547</f>
        <v>95896.7</v>
      </c>
      <c r="H492" s="39">
        <f>H493+H497+H501+H526+H533+H541+H547</f>
        <v>95896.7</v>
      </c>
    </row>
    <row r="493" spans="1:8" ht="24.75" customHeight="1">
      <c r="A493" s="7" t="s">
        <v>369</v>
      </c>
      <c r="B493" s="8" t="s">
        <v>437</v>
      </c>
      <c r="C493" s="8" t="s">
        <v>102</v>
      </c>
      <c r="D493" s="8" t="s">
        <v>712</v>
      </c>
      <c r="E493" s="8" t="s">
        <v>98</v>
      </c>
      <c r="F493" s="49">
        <f aca="true" t="shared" si="18" ref="F493:H495">F494</f>
        <v>0</v>
      </c>
      <c r="G493" s="39">
        <f t="shared" si="18"/>
        <v>200</v>
      </c>
      <c r="H493" s="39">
        <f t="shared" si="18"/>
        <v>200</v>
      </c>
    </row>
    <row r="494" spans="1:8" ht="30" customHeight="1">
      <c r="A494" s="7" t="s">
        <v>220</v>
      </c>
      <c r="B494" s="8" t="s">
        <v>437</v>
      </c>
      <c r="C494" s="8" t="s">
        <v>102</v>
      </c>
      <c r="D494" s="8" t="s">
        <v>81</v>
      </c>
      <c r="E494" s="8" t="s">
        <v>98</v>
      </c>
      <c r="F494" s="49">
        <f t="shared" si="18"/>
        <v>0</v>
      </c>
      <c r="G494" s="39">
        <f t="shared" si="18"/>
        <v>200</v>
      </c>
      <c r="H494" s="39">
        <f t="shared" si="18"/>
        <v>200</v>
      </c>
    </row>
    <row r="495" spans="1:8" ht="42.75" customHeight="1">
      <c r="A495" s="7" t="s">
        <v>399</v>
      </c>
      <c r="B495" s="8" t="s">
        <v>437</v>
      </c>
      <c r="C495" s="8" t="s">
        <v>102</v>
      </c>
      <c r="D495" s="8" t="s">
        <v>370</v>
      </c>
      <c r="E495" s="8" t="s">
        <v>98</v>
      </c>
      <c r="F495" s="49">
        <f t="shared" si="18"/>
        <v>0</v>
      </c>
      <c r="G495" s="39">
        <f t="shared" si="18"/>
        <v>200</v>
      </c>
      <c r="H495" s="39">
        <f t="shared" si="18"/>
        <v>200</v>
      </c>
    </row>
    <row r="496" spans="1:8" ht="81.75" customHeight="1">
      <c r="A496" s="7" t="s">
        <v>208</v>
      </c>
      <c r="B496" s="8" t="s">
        <v>437</v>
      </c>
      <c r="C496" s="8" t="s">
        <v>102</v>
      </c>
      <c r="D496" s="8" t="s">
        <v>370</v>
      </c>
      <c r="E496" s="8" t="s">
        <v>209</v>
      </c>
      <c r="F496" s="49">
        <v>0</v>
      </c>
      <c r="G496" s="39">
        <v>200</v>
      </c>
      <c r="H496" s="39">
        <v>200</v>
      </c>
    </row>
    <row r="497" spans="1:8" ht="29.25" customHeight="1">
      <c r="A497" s="7" t="s">
        <v>380</v>
      </c>
      <c r="B497" s="8" t="s">
        <v>437</v>
      </c>
      <c r="C497" s="8" t="s">
        <v>102</v>
      </c>
      <c r="D497" s="8" t="s">
        <v>694</v>
      </c>
      <c r="E497" s="8" t="s">
        <v>98</v>
      </c>
      <c r="F497" s="48">
        <f aca="true" t="shared" si="19" ref="F497:H499">F498</f>
        <v>44</v>
      </c>
      <c r="G497" s="39">
        <f t="shared" si="19"/>
        <v>44</v>
      </c>
      <c r="H497" s="39">
        <f t="shared" si="19"/>
        <v>44</v>
      </c>
    </row>
    <row r="498" spans="1:8" ht="27.75" customHeight="1">
      <c r="A498" s="7" t="s">
        <v>175</v>
      </c>
      <c r="B498" s="8" t="s">
        <v>437</v>
      </c>
      <c r="C498" s="8" t="s">
        <v>102</v>
      </c>
      <c r="D498" s="8" t="s">
        <v>699</v>
      </c>
      <c r="E498" s="8" t="s">
        <v>98</v>
      </c>
      <c r="F498" s="49">
        <f t="shared" si="19"/>
        <v>44</v>
      </c>
      <c r="G498" s="39">
        <f t="shared" si="19"/>
        <v>44</v>
      </c>
      <c r="H498" s="39">
        <f t="shared" si="19"/>
        <v>44</v>
      </c>
    </row>
    <row r="499" spans="1:8" ht="57" customHeight="1">
      <c r="A499" s="7" t="s">
        <v>713</v>
      </c>
      <c r="B499" s="8" t="s">
        <v>437</v>
      </c>
      <c r="C499" s="8" t="s">
        <v>102</v>
      </c>
      <c r="D499" s="8" t="s">
        <v>420</v>
      </c>
      <c r="E499" s="8" t="s">
        <v>98</v>
      </c>
      <c r="F499" s="49">
        <f t="shared" si="19"/>
        <v>44</v>
      </c>
      <c r="G499" s="39">
        <f t="shared" si="19"/>
        <v>44</v>
      </c>
      <c r="H499" s="39">
        <f t="shared" si="19"/>
        <v>44</v>
      </c>
    </row>
    <row r="500" spans="1:8" ht="27" customHeight="1">
      <c r="A500" s="7" t="s">
        <v>170</v>
      </c>
      <c r="B500" s="8" t="s">
        <v>437</v>
      </c>
      <c r="C500" s="8" t="s">
        <v>102</v>
      </c>
      <c r="D500" s="8" t="s">
        <v>420</v>
      </c>
      <c r="E500" s="8" t="s">
        <v>171</v>
      </c>
      <c r="F500" s="49">
        <v>44</v>
      </c>
      <c r="G500" s="39">
        <v>44</v>
      </c>
      <c r="H500" s="39">
        <v>44</v>
      </c>
    </row>
    <row r="501" spans="1:8" ht="31.5" customHeight="1">
      <c r="A501" s="7" t="s">
        <v>439</v>
      </c>
      <c r="B501" s="8" t="s">
        <v>437</v>
      </c>
      <c r="C501" s="8" t="s">
        <v>102</v>
      </c>
      <c r="D501" s="8" t="s">
        <v>714</v>
      </c>
      <c r="E501" s="8" t="s">
        <v>98</v>
      </c>
      <c r="F501" s="49">
        <f>F502+F508+F512+F506</f>
        <v>73761.7</v>
      </c>
      <c r="G501" s="39">
        <f>G502+G508+G512</f>
        <v>70933</v>
      </c>
      <c r="H501" s="39">
        <f>H502+H508+H512</f>
        <v>70933</v>
      </c>
    </row>
    <row r="502" spans="1:8" ht="54" customHeight="1">
      <c r="A502" s="7" t="s">
        <v>440</v>
      </c>
      <c r="B502" s="8" t="s">
        <v>437</v>
      </c>
      <c r="C502" s="8" t="s">
        <v>102</v>
      </c>
      <c r="D502" s="8" t="s">
        <v>441</v>
      </c>
      <c r="E502" s="8" t="s">
        <v>98</v>
      </c>
      <c r="F502" s="49">
        <f>F503</f>
        <v>329</v>
      </c>
      <c r="G502" s="39">
        <f>G503</f>
        <v>329</v>
      </c>
      <c r="H502" s="39">
        <f>H503</f>
        <v>329</v>
      </c>
    </row>
    <row r="503" spans="1:8" ht="55.5" customHeight="1">
      <c r="A503" s="7" t="s">
        <v>440</v>
      </c>
      <c r="B503" s="8" t="s">
        <v>437</v>
      </c>
      <c r="C503" s="8" t="s">
        <v>102</v>
      </c>
      <c r="D503" s="8" t="s">
        <v>441</v>
      </c>
      <c r="E503" s="8" t="s">
        <v>98</v>
      </c>
      <c r="F503" s="49">
        <f>F504+F505</f>
        <v>329</v>
      </c>
      <c r="G503" s="39">
        <f>G504</f>
        <v>329</v>
      </c>
      <c r="H503" s="39">
        <f>H504</f>
        <v>329</v>
      </c>
    </row>
    <row r="504" spans="1:8" ht="38.25">
      <c r="A504" s="7" t="s">
        <v>115</v>
      </c>
      <c r="B504" s="8" t="s">
        <v>437</v>
      </c>
      <c r="C504" s="8" t="s">
        <v>102</v>
      </c>
      <c r="D504" s="8" t="s">
        <v>441</v>
      </c>
      <c r="E504" s="8" t="s">
        <v>116</v>
      </c>
      <c r="F504" s="49">
        <f>329-329</f>
        <v>0</v>
      </c>
      <c r="G504" s="39">
        <v>329</v>
      </c>
      <c r="H504" s="39">
        <v>329</v>
      </c>
    </row>
    <row r="505" spans="1:8" ht="25.5">
      <c r="A505" s="7" t="s">
        <v>170</v>
      </c>
      <c r="B505" s="8" t="s">
        <v>437</v>
      </c>
      <c r="C505" s="8" t="s">
        <v>102</v>
      </c>
      <c r="D505" s="8" t="s">
        <v>441</v>
      </c>
      <c r="E505" s="8" t="s">
        <v>171</v>
      </c>
      <c r="F505" s="49">
        <f>329</f>
        <v>329</v>
      </c>
      <c r="G505" s="39"/>
      <c r="H505" s="39"/>
    </row>
    <row r="506" spans="1:8" ht="81" customHeight="1">
      <c r="A506" s="37" t="s">
        <v>418</v>
      </c>
      <c r="B506" s="8" t="s">
        <v>437</v>
      </c>
      <c r="C506" s="8" t="s">
        <v>102</v>
      </c>
      <c r="D506" s="8" t="s">
        <v>424</v>
      </c>
      <c r="E506" s="8"/>
      <c r="F506" s="49">
        <f>F507</f>
        <v>12</v>
      </c>
      <c r="G506" s="39"/>
      <c r="H506" s="39"/>
    </row>
    <row r="507" spans="1:8" ht="25.5">
      <c r="A507" s="7" t="s">
        <v>170</v>
      </c>
      <c r="B507" s="8" t="s">
        <v>437</v>
      </c>
      <c r="C507" s="8" t="s">
        <v>102</v>
      </c>
      <c r="D507" s="8" t="s">
        <v>424</v>
      </c>
      <c r="E507" s="8" t="s">
        <v>171</v>
      </c>
      <c r="F507" s="49">
        <f>12</f>
        <v>12</v>
      </c>
      <c r="G507" s="39"/>
      <c r="H507" s="39"/>
    </row>
    <row r="508" spans="1:8" ht="25.5">
      <c r="A508" s="7" t="s">
        <v>220</v>
      </c>
      <c r="B508" s="8" t="s">
        <v>437</v>
      </c>
      <c r="C508" s="8" t="s">
        <v>102</v>
      </c>
      <c r="D508" s="8" t="s">
        <v>715</v>
      </c>
      <c r="E508" s="8" t="s">
        <v>98</v>
      </c>
      <c r="F508" s="49">
        <f>F509</f>
        <v>538</v>
      </c>
      <c r="G508" s="39">
        <f>G509</f>
        <v>690</v>
      </c>
      <c r="H508" s="39">
        <f>H509</f>
        <v>690</v>
      </c>
    </row>
    <row r="509" spans="1:8" ht="52.5" customHeight="1">
      <c r="A509" s="7" t="s">
        <v>399</v>
      </c>
      <c r="B509" s="8" t="s">
        <v>437</v>
      </c>
      <c r="C509" s="8" t="s">
        <v>102</v>
      </c>
      <c r="D509" s="8" t="s">
        <v>442</v>
      </c>
      <c r="E509" s="8" t="s">
        <v>98</v>
      </c>
      <c r="F509" s="49">
        <f>F510+F511</f>
        <v>538</v>
      </c>
      <c r="G509" s="39">
        <f>G510+G511</f>
        <v>690</v>
      </c>
      <c r="H509" s="39">
        <f>H510+H511</f>
        <v>690</v>
      </c>
    </row>
    <row r="510" spans="1:8" ht="83.25" customHeight="1">
      <c r="A510" s="7" t="s">
        <v>208</v>
      </c>
      <c r="B510" s="8" t="s">
        <v>437</v>
      </c>
      <c r="C510" s="8" t="s">
        <v>102</v>
      </c>
      <c r="D510" s="8" t="s">
        <v>442</v>
      </c>
      <c r="E510" s="8" t="s">
        <v>209</v>
      </c>
      <c r="F510" s="49">
        <f>645-175</f>
        <v>470</v>
      </c>
      <c r="G510" s="39">
        <v>645</v>
      </c>
      <c r="H510" s="39">
        <v>645</v>
      </c>
    </row>
    <row r="511" spans="1:8" ht="29.25" customHeight="1">
      <c r="A511" s="7" t="s">
        <v>130</v>
      </c>
      <c r="B511" s="8" t="s">
        <v>437</v>
      </c>
      <c r="C511" s="8" t="s">
        <v>102</v>
      </c>
      <c r="D511" s="8" t="s">
        <v>442</v>
      </c>
      <c r="E511" s="8" t="s">
        <v>131</v>
      </c>
      <c r="F511" s="49">
        <f>45+23</f>
        <v>68</v>
      </c>
      <c r="G511" s="39">
        <v>45</v>
      </c>
      <c r="H511" s="39">
        <v>45</v>
      </c>
    </row>
    <row r="512" spans="1:8" ht="33.75" customHeight="1">
      <c r="A512" s="7" t="s">
        <v>175</v>
      </c>
      <c r="B512" s="8" t="s">
        <v>437</v>
      </c>
      <c r="C512" s="8" t="s">
        <v>102</v>
      </c>
      <c r="D512" s="8" t="s">
        <v>717</v>
      </c>
      <c r="E512" s="8" t="s">
        <v>98</v>
      </c>
      <c r="F512" s="49">
        <f>F513+F522+F524</f>
        <v>72882.7</v>
      </c>
      <c r="G512" s="39">
        <f>G513+G522+G524</f>
        <v>69914</v>
      </c>
      <c r="H512" s="39">
        <f>H513+H522+H524</f>
        <v>69914</v>
      </c>
    </row>
    <row r="513" spans="1:8" ht="57" customHeight="1">
      <c r="A513" s="7" t="s">
        <v>443</v>
      </c>
      <c r="B513" s="8" t="s">
        <v>437</v>
      </c>
      <c r="C513" s="8" t="s">
        <v>102</v>
      </c>
      <c r="D513" s="8" t="s">
        <v>444</v>
      </c>
      <c r="E513" s="8" t="s">
        <v>98</v>
      </c>
      <c r="F513" s="49">
        <f>F514+F515+F517+F518+F519+F520+F516+F521</f>
        <v>72862.7</v>
      </c>
      <c r="G513" s="39">
        <f>G514+G515+G517+G518+G519+G520</f>
        <v>69894</v>
      </c>
      <c r="H513" s="39">
        <f>H514+H515+H517+H518+H519+H520</f>
        <v>69894</v>
      </c>
    </row>
    <row r="514" spans="1:8" ht="19.5" customHeight="1">
      <c r="A514" s="7" t="s">
        <v>107</v>
      </c>
      <c r="B514" s="8" t="s">
        <v>437</v>
      </c>
      <c r="C514" s="8" t="s">
        <v>102</v>
      </c>
      <c r="D514" s="8" t="s">
        <v>444</v>
      </c>
      <c r="E514" s="8" t="s">
        <v>178</v>
      </c>
      <c r="F514" s="49">
        <f>5557+195+90+223-2+420.6</f>
        <v>6483.6</v>
      </c>
      <c r="G514" s="39">
        <v>5557</v>
      </c>
      <c r="H514" s="39">
        <v>5557</v>
      </c>
    </row>
    <row r="515" spans="1:8" ht="32.25" customHeight="1">
      <c r="A515" s="7" t="s">
        <v>126</v>
      </c>
      <c r="B515" s="8" t="s">
        <v>437</v>
      </c>
      <c r="C515" s="8" t="s">
        <v>102</v>
      </c>
      <c r="D515" s="8" t="s">
        <v>444</v>
      </c>
      <c r="E515" s="8" t="s">
        <v>185</v>
      </c>
      <c r="F515" s="49">
        <v>2</v>
      </c>
      <c r="G515" s="39">
        <v>2</v>
      </c>
      <c r="H515" s="39">
        <v>2</v>
      </c>
    </row>
    <row r="516" spans="1:8" ht="45" customHeight="1">
      <c r="A516" s="7" t="s">
        <v>82</v>
      </c>
      <c r="B516" s="8" t="s">
        <v>437</v>
      </c>
      <c r="C516" s="8" t="s">
        <v>102</v>
      </c>
      <c r="D516" s="8" t="s">
        <v>444</v>
      </c>
      <c r="E516" s="8" t="s">
        <v>120</v>
      </c>
      <c r="F516" s="49">
        <v>20</v>
      </c>
      <c r="G516" s="39"/>
      <c r="H516" s="39"/>
    </row>
    <row r="517" spans="1:8" ht="39.75" customHeight="1">
      <c r="A517" s="7" t="s">
        <v>115</v>
      </c>
      <c r="B517" s="8" t="s">
        <v>437</v>
      </c>
      <c r="C517" s="8" t="s">
        <v>102</v>
      </c>
      <c r="D517" s="8" t="s">
        <v>444</v>
      </c>
      <c r="E517" s="8" t="s">
        <v>116</v>
      </c>
      <c r="F517" s="49">
        <f>4088.4+40-3+70+130-76.8</f>
        <v>4248.599999999999</v>
      </c>
      <c r="G517" s="39">
        <v>4089.3</v>
      </c>
      <c r="H517" s="39">
        <v>4089.3</v>
      </c>
    </row>
    <row r="518" spans="1:8" ht="19.5" customHeight="1">
      <c r="A518" s="7" t="s">
        <v>403</v>
      </c>
      <c r="B518" s="8" t="s">
        <v>437</v>
      </c>
      <c r="C518" s="8" t="s">
        <v>102</v>
      </c>
      <c r="D518" s="8" t="s">
        <v>444</v>
      </c>
      <c r="E518" s="8" t="s">
        <v>121</v>
      </c>
      <c r="F518" s="49">
        <v>315</v>
      </c>
      <c r="G518" s="39">
        <v>315</v>
      </c>
      <c r="H518" s="39">
        <v>315</v>
      </c>
    </row>
    <row r="519" spans="1:8" ht="84.75" customHeight="1">
      <c r="A519" s="7" t="s">
        <v>208</v>
      </c>
      <c r="B519" s="8" t="s">
        <v>437</v>
      </c>
      <c r="C519" s="8" t="s">
        <v>102</v>
      </c>
      <c r="D519" s="8" t="s">
        <v>444</v>
      </c>
      <c r="E519" s="8" t="s">
        <v>209</v>
      </c>
      <c r="F519" s="49">
        <f>58696.2-147+668-221+2022.8</f>
        <v>61019</v>
      </c>
      <c r="G519" s="39">
        <v>59930.7</v>
      </c>
      <c r="H519" s="39">
        <v>59930.7</v>
      </c>
    </row>
    <row r="520" spans="1:8" ht="35.25" customHeight="1">
      <c r="A520" s="7" t="s">
        <v>170</v>
      </c>
      <c r="B520" s="8" t="s">
        <v>437</v>
      </c>
      <c r="C520" s="8" t="s">
        <v>102</v>
      </c>
      <c r="D520" s="8" t="s">
        <v>444</v>
      </c>
      <c r="E520" s="8" t="s">
        <v>171</v>
      </c>
      <c r="F520" s="49">
        <f>301.4+573-179.9</f>
        <v>694.5</v>
      </c>
      <c r="G520" s="39">
        <v>0</v>
      </c>
      <c r="H520" s="39">
        <v>0</v>
      </c>
    </row>
    <row r="521" spans="1:8" ht="31.5" customHeight="1">
      <c r="A521" s="7" t="s">
        <v>132</v>
      </c>
      <c r="B521" s="8" t="s">
        <v>437</v>
      </c>
      <c r="C521" s="8" t="s">
        <v>102</v>
      </c>
      <c r="D521" s="8" t="s">
        <v>444</v>
      </c>
      <c r="E521" s="8" t="s">
        <v>133</v>
      </c>
      <c r="F521" s="49">
        <f>80</f>
        <v>80</v>
      </c>
      <c r="G521" s="39"/>
      <c r="H521" s="39"/>
    </row>
    <row r="522" spans="1:8" ht="69.75" customHeight="1">
      <c r="A522" s="7" t="s">
        <v>446</v>
      </c>
      <c r="B522" s="8" t="s">
        <v>437</v>
      </c>
      <c r="C522" s="8" t="s">
        <v>102</v>
      </c>
      <c r="D522" s="8" t="s">
        <v>447</v>
      </c>
      <c r="E522" s="8" t="s">
        <v>98</v>
      </c>
      <c r="F522" s="49">
        <f>F523</f>
        <v>20</v>
      </c>
      <c r="G522" s="39">
        <f>G523</f>
        <v>20</v>
      </c>
      <c r="H522" s="39">
        <f>H523</f>
        <v>20</v>
      </c>
    </row>
    <row r="523" spans="1:8" ht="32.25" customHeight="1">
      <c r="A523" s="7" t="s">
        <v>170</v>
      </c>
      <c r="B523" s="8" t="s">
        <v>437</v>
      </c>
      <c r="C523" s="8" t="s">
        <v>102</v>
      </c>
      <c r="D523" s="8" t="s">
        <v>447</v>
      </c>
      <c r="E523" s="8" t="s">
        <v>171</v>
      </c>
      <c r="F523" s="49">
        <v>20</v>
      </c>
      <c r="G523" s="39">
        <v>20</v>
      </c>
      <c r="H523" s="39">
        <v>20</v>
      </c>
    </row>
    <row r="524" spans="1:8" ht="44.25" customHeight="1">
      <c r="A524" s="7" t="s">
        <v>448</v>
      </c>
      <c r="B524" s="8" t="s">
        <v>437</v>
      </c>
      <c r="C524" s="8" t="s">
        <v>102</v>
      </c>
      <c r="D524" s="8" t="s">
        <v>449</v>
      </c>
      <c r="E524" s="8" t="s">
        <v>98</v>
      </c>
      <c r="F524" s="49">
        <f>F525</f>
        <v>0</v>
      </c>
      <c r="G524" s="39">
        <f>G525</f>
        <v>0</v>
      </c>
      <c r="H524" s="39">
        <f>H525</f>
        <v>0</v>
      </c>
    </row>
    <row r="525" spans="1:8" ht="41.25" customHeight="1">
      <c r="A525" s="7" t="s">
        <v>115</v>
      </c>
      <c r="B525" s="8" t="s">
        <v>437</v>
      </c>
      <c r="C525" s="8" t="s">
        <v>102</v>
      </c>
      <c r="D525" s="8" t="s">
        <v>449</v>
      </c>
      <c r="E525" s="8" t="s">
        <v>116</v>
      </c>
      <c r="F525" s="49">
        <f>14000-9500-2400-2100</f>
        <v>0</v>
      </c>
      <c r="G525" s="39">
        <v>0</v>
      </c>
      <c r="H525" s="39">
        <v>0</v>
      </c>
    </row>
    <row r="526" spans="1:8" ht="18.75" customHeight="1">
      <c r="A526" s="7" t="s">
        <v>450</v>
      </c>
      <c r="B526" s="8" t="s">
        <v>437</v>
      </c>
      <c r="C526" s="8" t="s">
        <v>102</v>
      </c>
      <c r="D526" s="8" t="s">
        <v>718</v>
      </c>
      <c r="E526" s="8" t="s">
        <v>98</v>
      </c>
      <c r="F526" s="49">
        <f>F527+F530</f>
        <v>4579.9</v>
      </c>
      <c r="G526" s="39">
        <f>G527+G530</f>
        <v>3721</v>
      </c>
      <c r="H526" s="39">
        <f>H527+H530</f>
        <v>3721</v>
      </c>
    </row>
    <row r="527" spans="1:8" ht="31.5" customHeight="1">
      <c r="A527" s="7" t="s">
        <v>220</v>
      </c>
      <c r="B527" s="8" t="s">
        <v>437</v>
      </c>
      <c r="C527" s="8" t="s">
        <v>102</v>
      </c>
      <c r="D527" s="8" t="s">
        <v>719</v>
      </c>
      <c r="E527" s="8" t="s">
        <v>98</v>
      </c>
      <c r="F527" s="49">
        <f aca="true" t="shared" si="20" ref="F527:H528">F528</f>
        <v>20</v>
      </c>
      <c r="G527" s="39">
        <f t="shared" si="20"/>
        <v>20</v>
      </c>
      <c r="H527" s="39">
        <f t="shared" si="20"/>
        <v>20</v>
      </c>
    </row>
    <row r="528" spans="1:8" ht="44.25" customHeight="1">
      <c r="A528" s="7" t="s">
        <v>360</v>
      </c>
      <c r="B528" s="8" t="s">
        <v>437</v>
      </c>
      <c r="C528" s="8" t="s">
        <v>102</v>
      </c>
      <c r="D528" s="8" t="s">
        <v>451</v>
      </c>
      <c r="E528" s="8" t="s">
        <v>98</v>
      </c>
      <c r="F528" s="49">
        <f t="shared" si="20"/>
        <v>20</v>
      </c>
      <c r="G528" s="39">
        <f t="shared" si="20"/>
        <v>20</v>
      </c>
      <c r="H528" s="39">
        <f t="shared" si="20"/>
        <v>20</v>
      </c>
    </row>
    <row r="529" spans="1:8" ht="81.75" customHeight="1">
      <c r="A529" s="7" t="s">
        <v>208</v>
      </c>
      <c r="B529" s="8" t="s">
        <v>437</v>
      </c>
      <c r="C529" s="8" t="s">
        <v>102</v>
      </c>
      <c r="D529" s="8" t="s">
        <v>451</v>
      </c>
      <c r="E529" s="8" t="s">
        <v>209</v>
      </c>
      <c r="F529" s="49">
        <v>20</v>
      </c>
      <c r="G529" s="39">
        <v>20</v>
      </c>
      <c r="H529" s="39">
        <v>20</v>
      </c>
    </row>
    <row r="530" spans="1:8" ht="33" customHeight="1">
      <c r="A530" s="7" t="s">
        <v>175</v>
      </c>
      <c r="B530" s="8" t="s">
        <v>437</v>
      </c>
      <c r="C530" s="8" t="s">
        <v>102</v>
      </c>
      <c r="D530" s="8" t="s">
        <v>720</v>
      </c>
      <c r="E530" s="8" t="s">
        <v>98</v>
      </c>
      <c r="F530" s="49">
        <f aca="true" t="shared" si="21" ref="F530:H531">F531</f>
        <v>4559.9</v>
      </c>
      <c r="G530" s="39">
        <f t="shared" si="21"/>
        <v>3701</v>
      </c>
      <c r="H530" s="39">
        <f t="shared" si="21"/>
        <v>3701</v>
      </c>
    </row>
    <row r="531" spans="1:8" ht="57" customHeight="1">
      <c r="A531" s="7" t="s">
        <v>453</v>
      </c>
      <c r="B531" s="8" t="s">
        <v>437</v>
      </c>
      <c r="C531" s="8" t="s">
        <v>102</v>
      </c>
      <c r="D531" s="8" t="s">
        <v>454</v>
      </c>
      <c r="E531" s="8" t="s">
        <v>98</v>
      </c>
      <c r="F531" s="49">
        <f t="shared" si="21"/>
        <v>4559.9</v>
      </c>
      <c r="G531" s="39">
        <f t="shared" si="21"/>
        <v>3701</v>
      </c>
      <c r="H531" s="39">
        <f t="shared" si="21"/>
        <v>3701</v>
      </c>
    </row>
    <row r="532" spans="1:8" ht="80.25" customHeight="1">
      <c r="A532" s="7" t="s">
        <v>208</v>
      </c>
      <c r="B532" s="8" t="s">
        <v>437</v>
      </c>
      <c r="C532" s="8" t="s">
        <v>102</v>
      </c>
      <c r="D532" s="8" t="s">
        <v>454</v>
      </c>
      <c r="E532" s="8" t="s">
        <v>209</v>
      </c>
      <c r="F532" s="49">
        <f>4211+180+30+40+98.9</f>
        <v>4559.9</v>
      </c>
      <c r="G532" s="39">
        <v>3701</v>
      </c>
      <c r="H532" s="39">
        <v>3701</v>
      </c>
    </row>
    <row r="533" spans="1:8" ht="22.5" customHeight="1">
      <c r="A533" s="7" t="s">
        <v>455</v>
      </c>
      <c r="B533" s="8" t="s">
        <v>437</v>
      </c>
      <c r="C533" s="8" t="s">
        <v>102</v>
      </c>
      <c r="D533" s="8" t="s">
        <v>721</v>
      </c>
      <c r="E533" s="8" t="s">
        <v>98</v>
      </c>
      <c r="F533" s="49">
        <f>F534+F537</f>
        <v>20125</v>
      </c>
      <c r="G533" s="39">
        <f>G534+G537</f>
        <v>19294.7</v>
      </c>
      <c r="H533" s="39">
        <f>H534+H537</f>
        <v>19294.7</v>
      </c>
    </row>
    <row r="534" spans="1:8" ht="31.5" customHeight="1">
      <c r="A534" s="7" t="s">
        <v>220</v>
      </c>
      <c r="B534" s="8" t="s">
        <v>437</v>
      </c>
      <c r="C534" s="8" t="s">
        <v>102</v>
      </c>
      <c r="D534" s="8" t="s">
        <v>722</v>
      </c>
      <c r="E534" s="8" t="s">
        <v>98</v>
      </c>
      <c r="F534" s="49">
        <f aca="true" t="shared" si="22" ref="F534:H535">F535</f>
        <v>90.7</v>
      </c>
      <c r="G534" s="39">
        <f t="shared" si="22"/>
        <v>158</v>
      </c>
      <c r="H534" s="39">
        <f t="shared" si="22"/>
        <v>158</v>
      </c>
    </row>
    <row r="535" spans="1:8" ht="51">
      <c r="A535" s="7" t="s">
        <v>399</v>
      </c>
      <c r="B535" s="8" t="s">
        <v>437</v>
      </c>
      <c r="C535" s="8" t="s">
        <v>102</v>
      </c>
      <c r="D535" s="8" t="s">
        <v>456</v>
      </c>
      <c r="E535" s="8" t="s">
        <v>98</v>
      </c>
      <c r="F535" s="49">
        <f t="shared" si="22"/>
        <v>90.7</v>
      </c>
      <c r="G535" s="39">
        <f t="shared" si="22"/>
        <v>158</v>
      </c>
      <c r="H535" s="39">
        <f t="shared" si="22"/>
        <v>158</v>
      </c>
    </row>
    <row r="536" spans="1:8" ht="85.5" customHeight="1">
      <c r="A536" s="7" t="s">
        <v>208</v>
      </c>
      <c r="B536" s="8" t="s">
        <v>437</v>
      </c>
      <c r="C536" s="8" t="s">
        <v>102</v>
      </c>
      <c r="D536" s="8" t="s">
        <v>456</v>
      </c>
      <c r="E536" s="8" t="s">
        <v>209</v>
      </c>
      <c r="F536" s="49">
        <f>158-67.3</f>
        <v>90.7</v>
      </c>
      <c r="G536" s="39">
        <v>158</v>
      </c>
      <c r="H536" s="39">
        <v>158</v>
      </c>
    </row>
    <row r="537" spans="1:8" ht="30.75" customHeight="1">
      <c r="A537" s="7" t="s">
        <v>175</v>
      </c>
      <c r="B537" s="8" t="s">
        <v>437</v>
      </c>
      <c r="C537" s="8" t="s">
        <v>102</v>
      </c>
      <c r="D537" s="8" t="s">
        <v>723</v>
      </c>
      <c r="E537" s="8" t="s">
        <v>98</v>
      </c>
      <c r="F537" s="49">
        <f>F538</f>
        <v>20034.3</v>
      </c>
      <c r="G537" s="39">
        <f>G538</f>
        <v>19136.7</v>
      </c>
      <c r="H537" s="39">
        <f>H538</f>
        <v>19136.7</v>
      </c>
    </row>
    <row r="538" spans="1:8" ht="58.5" customHeight="1">
      <c r="A538" s="7" t="s">
        <v>457</v>
      </c>
      <c r="B538" s="8" t="s">
        <v>437</v>
      </c>
      <c r="C538" s="8" t="s">
        <v>102</v>
      </c>
      <c r="D538" s="8" t="s">
        <v>458</v>
      </c>
      <c r="E538" s="8" t="s">
        <v>98</v>
      </c>
      <c r="F538" s="49">
        <f>F539+F540</f>
        <v>20034.3</v>
      </c>
      <c r="G538" s="39">
        <f>G539+G540</f>
        <v>19136.7</v>
      </c>
      <c r="H538" s="39">
        <f>H539+H540</f>
        <v>19136.7</v>
      </c>
    </row>
    <row r="539" spans="1:8" ht="81" customHeight="1">
      <c r="A539" s="7" t="s">
        <v>208</v>
      </c>
      <c r="B539" s="8" t="s">
        <v>437</v>
      </c>
      <c r="C539" s="8" t="s">
        <v>102</v>
      </c>
      <c r="D539" s="8" t="s">
        <v>458</v>
      </c>
      <c r="E539" s="8" t="s">
        <v>209</v>
      </c>
      <c r="F539" s="49">
        <f>18614.2-135+229+249.9+553.6</f>
        <v>19511.7</v>
      </c>
      <c r="G539" s="39">
        <v>19136.7</v>
      </c>
      <c r="H539" s="39">
        <v>19136.7</v>
      </c>
    </row>
    <row r="540" spans="1:8" ht="30.75" customHeight="1">
      <c r="A540" s="7" t="s">
        <v>170</v>
      </c>
      <c r="B540" s="8" t="s">
        <v>437</v>
      </c>
      <c r="C540" s="8" t="s">
        <v>102</v>
      </c>
      <c r="D540" s="8" t="s">
        <v>458</v>
      </c>
      <c r="E540" s="8" t="s">
        <v>171</v>
      </c>
      <c r="F540" s="49">
        <f>522.5+0.1</f>
        <v>522.6</v>
      </c>
      <c r="G540" s="39">
        <v>0</v>
      </c>
      <c r="H540" s="39">
        <v>0</v>
      </c>
    </row>
    <row r="541" spans="1:8" ht="31.5" customHeight="1">
      <c r="A541" s="7" t="s">
        <v>199</v>
      </c>
      <c r="B541" s="8" t="s">
        <v>437</v>
      </c>
      <c r="C541" s="8" t="s">
        <v>102</v>
      </c>
      <c r="D541" s="8" t="s">
        <v>670</v>
      </c>
      <c r="E541" s="8" t="s">
        <v>98</v>
      </c>
      <c r="F541" s="49">
        <f>F545+F542</f>
        <v>10960.5</v>
      </c>
      <c r="G541" s="39">
        <f>G545</f>
        <v>1704</v>
      </c>
      <c r="H541" s="39">
        <f>H545</f>
        <v>1704</v>
      </c>
    </row>
    <row r="542" spans="1:8" ht="53.25" customHeight="1">
      <c r="A542" s="18" t="s">
        <v>333</v>
      </c>
      <c r="B542" s="13" t="s">
        <v>437</v>
      </c>
      <c r="C542" s="13" t="s">
        <v>102</v>
      </c>
      <c r="D542" s="13" t="s">
        <v>332</v>
      </c>
      <c r="E542" s="13"/>
      <c r="F542" s="48">
        <f>F543+F544</f>
        <v>4999.5</v>
      </c>
      <c r="G542" s="48"/>
      <c r="H542" s="48"/>
    </row>
    <row r="543" spans="1:8" ht="77.25" customHeight="1">
      <c r="A543" s="7" t="s">
        <v>208</v>
      </c>
      <c r="B543" s="8" t="s">
        <v>437</v>
      </c>
      <c r="C543" s="8" t="s">
        <v>102</v>
      </c>
      <c r="D543" s="8" t="s">
        <v>332</v>
      </c>
      <c r="E543" s="8" t="s">
        <v>209</v>
      </c>
      <c r="F543" s="49">
        <f>1100+800-200+300</f>
        <v>2000</v>
      </c>
      <c r="G543" s="39"/>
      <c r="H543" s="39"/>
    </row>
    <row r="544" spans="1:8" ht="38.25" customHeight="1">
      <c r="A544" s="7" t="s">
        <v>170</v>
      </c>
      <c r="B544" s="8" t="s">
        <v>437</v>
      </c>
      <c r="C544" s="8" t="s">
        <v>102</v>
      </c>
      <c r="D544" s="8" t="s">
        <v>332</v>
      </c>
      <c r="E544" s="8" t="s">
        <v>171</v>
      </c>
      <c r="F544" s="49">
        <v>2999.5</v>
      </c>
      <c r="G544" s="39"/>
      <c r="H544" s="39"/>
    </row>
    <row r="545" spans="1:8" ht="74.25" customHeight="1">
      <c r="A545" s="7" t="s">
        <v>459</v>
      </c>
      <c r="B545" s="8" t="s">
        <v>437</v>
      </c>
      <c r="C545" s="8" t="s">
        <v>102</v>
      </c>
      <c r="D545" s="8" t="s">
        <v>461</v>
      </c>
      <c r="E545" s="8" t="s">
        <v>98</v>
      </c>
      <c r="F545" s="49">
        <f>F546</f>
        <v>5961</v>
      </c>
      <c r="G545" s="39">
        <f>G546</f>
        <v>1704</v>
      </c>
      <c r="H545" s="39">
        <f>H546</f>
        <v>1704</v>
      </c>
    </row>
    <row r="546" spans="1:8" ht="35.25" customHeight="1">
      <c r="A546" s="7" t="s">
        <v>170</v>
      </c>
      <c r="B546" s="8" t="s">
        <v>437</v>
      </c>
      <c r="C546" s="8" t="s">
        <v>102</v>
      </c>
      <c r="D546" s="8" t="s">
        <v>461</v>
      </c>
      <c r="E546" s="8" t="s">
        <v>171</v>
      </c>
      <c r="F546" s="49">
        <f>1704-1704+1704+4895-638</f>
        <v>5961</v>
      </c>
      <c r="G546" s="39">
        <v>1704</v>
      </c>
      <c r="H546" s="39">
        <v>1704</v>
      </c>
    </row>
    <row r="547" spans="1:8" ht="21" customHeight="1">
      <c r="A547" s="7" t="s">
        <v>232</v>
      </c>
      <c r="B547" s="8" t="s">
        <v>437</v>
      </c>
      <c r="C547" s="8" t="s">
        <v>102</v>
      </c>
      <c r="D547" s="8" t="s">
        <v>724</v>
      </c>
      <c r="E547" s="8" t="s">
        <v>98</v>
      </c>
      <c r="F547" s="49">
        <f>F548+F551</f>
        <v>1430</v>
      </c>
      <c r="G547" s="39">
        <v>0</v>
      </c>
      <c r="H547" s="39">
        <v>0</v>
      </c>
    </row>
    <row r="548" spans="1:8" ht="33.75" customHeight="1">
      <c r="A548" s="7" t="s">
        <v>462</v>
      </c>
      <c r="B548" s="8" t="s">
        <v>437</v>
      </c>
      <c r="C548" s="8" t="s">
        <v>102</v>
      </c>
      <c r="D548" s="8" t="s">
        <v>463</v>
      </c>
      <c r="E548" s="8" t="s">
        <v>98</v>
      </c>
      <c r="F548" s="49">
        <f>F549+F550</f>
        <v>1330</v>
      </c>
      <c r="G548" s="39">
        <v>0</v>
      </c>
      <c r="H548" s="39">
        <v>0</v>
      </c>
    </row>
    <row r="549" spans="1:8" ht="45" customHeight="1">
      <c r="A549" s="7" t="s">
        <v>211</v>
      </c>
      <c r="B549" s="8" t="s">
        <v>437</v>
      </c>
      <c r="C549" s="8" t="s">
        <v>102</v>
      </c>
      <c r="D549" s="8" t="s">
        <v>463</v>
      </c>
      <c r="E549" s="8" t="s">
        <v>120</v>
      </c>
      <c r="F549" s="49">
        <f>400</f>
        <v>400</v>
      </c>
      <c r="G549" s="39"/>
      <c r="H549" s="39"/>
    </row>
    <row r="550" spans="1:8" ht="32.25" customHeight="1">
      <c r="A550" s="7" t="s">
        <v>170</v>
      </c>
      <c r="B550" s="8" t="s">
        <v>437</v>
      </c>
      <c r="C550" s="8" t="s">
        <v>102</v>
      </c>
      <c r="D550" s="8" t="s">
        <v>463</v>
      </c>
      <c r="E550" s="8" t="s">
        <v>171</v>
      </c>
      <c r="F550" s="49">
        <f>400+1000-400-80+10</f>
        <v>930</v>
      </c>
      <c r="G550" s="39">
        <v>0</v>
      </c>
      <c r="H550" s="39">
        <v>0</v>
      </c>
    </row>
    <row r="551" spans="1:8" ht="42" customHeight="1">
      <c r="A551" s="7" t="s">
        <v>58</v>
      </c>
      <c r="B551" s="8" t="s">
        <v>437</v>
      </c>
      <c r="C551" s="8" t="s">
        <v>102</v>
      </c>
      <c r="D551" s="8" t="s">
        <v>59</v>
      </c>
      <c r="E551" s="8"/>
      <c r="F551" s="49">
        <f>F552</f>
        <v>100</v>
      </c>
      <c r="G551" s="39"/>
      <c r="H551" s="39"/>
    </row>
    <row r="552" spans="1:8" ht="32.25" customHeight="1">
      <c r="A552" s="7" t="s">
        <v>170</v>
      </c>
      <c r="B552" s="8" t="s">
        <v>437</v>
      </c>
      <c r="C552" s="8" t="s">
        <v>102</v>
      </c>
      <c r="D552" s="8" t="s">
        <v>59</v>
      </c>
      <c r="E552" s="8" t="s">
        <v>171</v>
      </c>
      <c r="F552" s="49">
        <f>100</f>
        <v>100</v>
      </c>
      <c r="G552" s="39"/>
      <c r="H552" s="39"/>
    </row>
    <row r="553" spans="1:8" ht="32.25" customHeight="1">
      <c r="A553" s="18" t="s">
        <v>673</v>
      </c>
      <c r="B553" s="13" t="s">
        <v>437</v>
      </c>
      <c r="C553" s="13" t="s">
        <v>102</v>
      </c>
      <c r="D553" s="13" t="s">
        <v>417</v>
      </c>
      <c r="E553" s="13"/>
      <c r="F553" s="48">
        <f>F554</f>
        <v>1080</v>
      </c>
      <c r="G553" s="48"/>
      <c r="H553" s="48"/>
    </row>
    <row r="554" spans="1:8" ht="57" customHeight="1">
      <c r="A554" s="37" t="s">
        <v>235</v>
      </c>
      <c r="B554" s="38" t="s">
        <v>437</v>
      </c>
      <c r="C554" s="38" t="s">
        <v>102</v>
      </c>
      <c r="D554" s="38" t="s">
        <v>584</v>
      </c>
      <c r="E554" s="38" t="s">
        <v>209</v>
      </c>
      <c r="F554" s="49">
        <f>480+600</f>
        <v>1080</v>
      </c>
      <c r="G554" s="49"/>
      <c r="H554" s="49"/>
    </row>
    <row r="555" spans="1:8" ht="33.75" customHeight="1">
      <c r="A555" s="37" t="s">
        <v>510</v>
      </c>
      <c r="B555" s="38" t="s">
        <v>437</v>
      </c>
      <c r="C555" s="38" t="s">
        <v>102</v>
      </c>
      <c r="D555" s="38" t="s">
        <v>64</v>
      </c>
      <c r="E555" s="38" t="s">
        <v>203</v>
      </c>
      <c r="F555" s="49">
        <f>9500+10000-1100-800-100-17500</f>
        <v>0</v>
      </c>
      <c r="G555" s="49"/>
      <c r="H555" s="49"/>
    </row>
    <row r="556" spans="1:8" ht="23.25" customHeight="1">
      <c r="A556" s="18" t="s">
        <v>511</v>
      </c>
      <c r="B556" s="8" t="s">
        <v>437</v>
      </c>
      <c r="C556" s="8" t="s">
        <v>102</v>
      </c>
      <c r="D556" s="8" t="s">
        <v>586</v>
      </c>
      <c r="E556" s="8" t="s">
        <v>288</v>
      </c>
      <c r="F556" s="48">
        <v>2083.9</v>
      </c>
      <c r="G556" s="39"/>
      <c r="H556" s="39"/>
    </row>
    <row r="557" spans="1:8" ht="33" customHeight="1">
      <c r="A557" s="7" t="s">
        <v>464</v>
      </c>
      <c r="B557" s="8" t="s">
        <v>437</v>
      </c>
      <c r="C557" s="8" t="s">
        <v>123</v>
      </c>
      <c r="D557" s="8" t="s">
        <v>99</v>
      </c>
      <c r="E557" s="8" t="s">
        <v>98</v>
      </c>
      <c r="F557" s="49">
        <f aca="true" t="shared" si="23" ref="F557:H559">F558</f>
        <v>6357.79</v>
      </c>
      <c r="G557" s="39">
        <f t="shared" si="23"/>
        <v>6236</v>
      </c>
      <c r="H557" s="39">
        <f t="shared" si="23"/>
        <v>6236</v>
      </c>
    </row>
    <row r="558" spans="1:8" ht="67.5" customHeight="1">
      <c r="A558" s="7" t="s">
        <v>430</v>
      </c>
      <c r="B558" s="8" t="s">
        <v>437</v>
      </c>
      <c r="C558" s="8" t="s">
        <v>123</v>
      </c>
      <c r="D558" s="8" t="s">
        <v>702</v>
      </c>
      <c r="E558" s="8" t="s">
        <v>98</v>
      </c>
      <c r="F558" s="49">
        <f t="shared" si="23"/>
        <v>6357.79</v>
      </c>
      <c r="G558" s="39">
        <f t="shared" si="23"/>
        <v>6236</v>
      </c>
      <c r="H558" s="39">
        <f t="shared" si="23"/>
        <v>6236</v>
      </c>
    </row>
    <row r="559" spans="1:8" ht="33.75" customHeight="1">
      <c r="A559" s="7" t="s">
        <v>175</v>
      </c>
      <c r="B559" s="8" t="s">
        <v>437</v>
      </c>
      <c r="C559" s="8" t="s">
        <v>123</v>
      </c>
      <c r="D559" s="8" t="s">
        <v>703</v>
      </c>
      <c r="E559" s="8" t="s">
        <v>98</v>
      </c>
      <c r="F559" s="49">
        <f t="shared" si="23"/>
        <v>6357.79</v>
      </c>
      <c r="G559" s="39">
        <f t="shared" si="23"/>
        <v>6236</v>
      </c>
      <c r="H559" s="39">
        <f t="shared" si="23"/>
        <v>6236</v>
      </c>
    </row>
    <row r="560" spans="1:8" ht="58.5" customHeight="1">
      <c r="A560" s="7" t="s">
        <v>432</v>
      </c>
      <c r="B560" s="8" t="s">
        <v>437</v>
      </c>
      <c r="C560" s="8" t="s">
        <v>123</v>
      </c>
      <c r="D560" s="8" t="s">
        <v>433</v>
      </c>
      <c r="E560" s="8" t="s">
        <v>98</v>
      </c>
      <c r="F560" s="49">
        <f>F561+F562+F563</f>
        <v>6357.79</v>
      </c>
      <c r="G560" s="39">
        <f>G561+G562+G563</f>
        <v>6236</v>
      </c>
      <c r="H560" s="39">
        <f>H561+H562+H563</f>
        <v>6236</v>
      </c>
    </row>
    <row r="561" spans="1:8" ht="18.75" customHeight="1">
      <c r="A561" s="7" t="s">
        <v>107</v>
      </c>
      <c r="B561" s="8" t="s">
        <v>437</v>
      </c>
      <c r="C561" s="8" t="s">
        <v>123</v>
      </c>
      <c r="D561" s="8" t="s">
        <v>433</v>
      </c>
      <c r="E561" s="8" t="s">
        <v>178</v>
      </c>
      <c r="F561" s="49">
        <f>4961+74+349.8</f>
        <v>5384.8</v>
      </c>
      <c r="G561" s="39">
        <v>4961</v>
      </c>
      <c r="H561" s="39">
        <v>4961</v>
      </c>
    </row>
    <row r="562" spans="1:8" ht="47.25" customHeight="1">
      <c r="A562" s="7" t="s">
        <v>119</v>
      </c>
      <c r="B562" s="8" t="s">
        <v>437</v>
      </c>
      <c r="C562" s="8" t="s">
        <v>123</v>
      </c>
      <c r="D562" s="8" t="s">
        <v>433</v>
      </c>
      <c r="E562" s="8" t="s">
        <v>120</v>
      </c>
      <c r="F562" s="49">
        <f>655+535.9-5-20-70-123-69.9</f>
        <v>903.0000000000001</v>
      </c>
      <c r="G562" s="39">
        <v>655</v>
      </c>
      <c r="H562" s="39">
        <v>655</v>
      </c>
    </row>
    <row r="563" spans="1:8" ht="38.25">
      <c r="A563" s="7" t="s">
        <v>115</v>
      </c>
      <c r="B563" s="8" t="s">
        <v>437</v>
      </c>
      <c r="C563" s="8" t="s">
        <v>123</v>
      </c>
      <c r="D563" s="8" t="s">
        <v>433</v>
      </c>
      <c r="E563" s="8" t="s">
        <v>116</v>
      </c>
      <c r="F563" s="49">
        <f>620-535.9+5.89-20</f>
        <v>69.99000000000002</v>
      </c>
      <c r="G563" s="39">
        <v>620</v>
      </c>
      <c r="H563" s="39">
        <v>620</v>
      </c>
    </row>
    <row r="564" spans="1:8" ht="29.25" customHeight="1">
      <c r="A564" s="17" t="s">
        <v>465</v>
      </c>
      <c r="B564" s="16" t="s">
        <v>189</v>
      </c>
      <c r="C564" s="16" t="s">
        <v>98</v>
      </c>
      <c r="D564" s="16" t="s">
        <v>99</v>
      </c>
      <c r="E564" s="16" t="s">
        <v>98</v>
      </c>
      <c r="F564" s="67">
        <f>F565+F590+F630+F637+F652</f>
        <v>366854.9</v>
      </c>
      <c r="G564" s="43">
        <f>G565+G590+G630+G637+G652</f>
        <v>199468</v>
      </c>
      <c r="H564" s="43">
        <f>H565+H590+H630+H637+H652</f>
        <v>199468</v>
      </c>
    </row>
    <row r="565" spans="1:8" ht="24" customHeight="1">
      <c r="A565" s="7" t="s">
        <v>466</v>
      </c>
      <c r="B565" s="8" t="s">
        <v>189</v>
      </c>
      <c r="C565" s="8" t="s">
        <v>102</v>
      </c>
      <c r="D565" s="8"/>
      <c r="E565" s="8" t="s">
        <v>98</v>
      </c>
      <c r="F565" s="48">
        <f>F566+F570+F574+F581+F586+F568</f>
        <v>179297.8</v>
      </c>
      <c r="G565" s="39">
        <f>G566+G570+G574+G581+G586</f>
        <v>50085</v>
      </c>
      <c r="H565" s="39">
        <f>H566+H570+H574+H581+H586</f>
        <v>50085</v>
      </c>
    </row>
    <row r="566" spans="1:8" ht="55.5" customHeight="1">
      <c r="A566" s="7" t="s">
        <v>467</v>
      </c>
      <c r="B566" s="8" t="s">
        <v>189</v>
      </c>
      <c r="C566" s="8" t="s">
        <v>102</v>
      </c>
      <c r="D566" s="8" t="s">
        <v>468</v>
      </c>
      <c r="E566" s="8" t="s">
        <v>98</v>
      </c>
      <c r="F566" s="49">
        <f>F567</f>
        <v>118037.2</v>
      </c>
      <c r="G566" s="39">
        <f>G567</f>
        <v>0</v>
      </c>
      <c r="H566" s="39">
        <f>H567</f>
        <v>0</v>
      </c>
    </row>
    <row r="567" spans="1:8" ht="33.75" customHeight="1">
      <c r="A567" s="7" t="s">
        <v>170</v>
      </c>
      <c r="B567" s="8" t="s">
        <v>189</v>
      </c>
      <c r="C567" s="8" t="s">
        <v>102</v>
      </c>
      <c r="D567" s="8" t="s">
        <v>468</v>
      </c>
      <c r="E567" s="8" t="s">
        <v>171</v>
      </c>
      <c r="F567" s="49">
        <f>118700.9-306+0.6-358.3</f>
        <v>118037.2</v>
      </c>
      <c r="G567" s="39">
        <v>0</v>
      </c>
      <c r="H567" s="39">
        <v>0</v>
      </c>
    </row>
    <row r="568" spans="1:8" ht="110.25" customHeight="1">
      <c r="A568" s="7" t="s">
        <v>478</v>
      </c>
      <c r="B568" s="8" t="s">
        <v>189</v>
      </c>
      <c r="C568" s="8" t="s">
        <v>102</v>
      </c>
      <c r="D568" s="8" t="s">
        <v>479</v>
      </c>
      <c r="E568" s="8" t="s">
        <v>98</v>
      </c>
      <c r="F568" s="49">
        <f>F569</f>
        <v>2257.7</v>
      </c>
      <c r="G568" s="39"/>
      <c r="H568" s="39"/>
    </row>
    <row r="569" spans="1:8" ht="33.75" customHeight="1">
      <c r="A569" s="7" t="s">
        <v>170</v>
      </c>
      <c r="B569" s="8" t="s">
        <v>189</v>
      </c>
      <c r="C569" s="8" t="s">
        <v>102</v>
      </c>
      <c r="D569" s="8" t="s">
        <v>479</v>
      </c>
      <c r="E569" s="8" t="s">
        <v>171</v>
      </c>
      <c r="F569" s="49">
        <f>3236.1-2.6+100-1075.8</f>
        <v>2257.7</v>
      </c>
      <c r="G569" s="39"/>
      <c r="H569" s="39"/>
    </row>
    <row r="570" spans="1:8" ht="33" customHeight="1">
      <c r="A570" s="7" t="s">
        <v>380</v>
      </c>
      <c r="B570" s="8" t="s">
        <v>189</v>
      </c>
      <c r="C570" s="8" t="s">
        <v>102</v>
      </c>
      <c r="D570" s="8" t="s">
        <v>694</v>
      </c>
      <c r="E570" s="8" t="s">
        <v>98</v>
      </c>
      <c r="F570" s="49">
        <f aca="true" t="shared" si="24" ref="F570:H572">F571</f>
        <v>115</v>
      </c>
      <c r="G570" s="39">
        <f t="shared" si="24"/>
        <v>115</v>
      </c>
      <c r="H570" s="39">
        <f t="shared" si="24"/>
        <v>115</v>
      </c>
    </row>
    <row r="571" spans="1:8" ht="33" customHeight="1">
      <c r="A571" s="7" t="s">
        <v>175</v>
      </c>
      <c r="B571" s="8" t="s">
        <v>189</v>
      </c>
      <c r="C571" s="8" t="s">
        <v>102</v>
      </c>
      <c r="D571" s="8" t="s">
        <v>699</v>
      </c>
      <c r="E571" s="8" t="s">
        <v>129</v>
      </c>
      <c r="F571" s="49">
        <f t="shared" si="24"/>
        <v>115</v>
      </c>
      <c r="G571" s="39">
        <f t="shared" si="24"/>
        <v>115</v>
      </c>
      <c r="H571" s="39">
        <f t="shared" si="24"/>
        <v>115</v>
      </c>
    </row>
    <row r="572" spans="1:8" ht="67.5" customHeight="1">
      <c r="A572" s="7" t="s">
        <v>599</v>
      </c>
      <c r="B572" s="8" t="s">
        <v>189</v>
      </c>
      <c r="C572" s="8" t="s">
        <v>102</v>
      </c>
      <c r="D572" s="8" t="s">
        <v>420</v>
      </c>
      <c r="E572" s="8" t="s">
        <v>594</v>
      </c>
      <c r="F572" s="49">
        <f t="shared" si="24"/>
        <v>115</v>
      </c>
      <c r="G572" s="39">
        <f t="shared" si="24"/>
        <v>115</v>
      </c>
      <c r="H572" s="39">
        <f t="shared" si="24"/>
        <v>115</v>
      </c>
    </row>
    <row r="573" spans="1:8" ht="30.75" customHeight="1">
      <c r="A573" s="7" t="s">
        <v>170</v>
      </c>
      <c r="B573" s="8" t="s">
        <v>189</v>
      </c>
      <c r="C573" s="8" t="s">
        <v>102</v>
      </c>
      <c r="D573" s="8" t="s">
        <v>420</v>
      </c>
      <c r="E573" s="8" t="s">
        <v>171</v>
      </c>
      <c r="F573" s="49">
        <v>115</v>
      </c>
      <c r="G573" s="39">
        <v>115</v>
      </c>
      <c r="H573" s="39">
        <v>115</v>
      </c>
    </row>
    <row r="574" spans="1:8" ht="35.25" customHeight="1">
      <c r="A574" s="7" t="s">
        <v>469</v>
      </c>
      <c r="B574" s="8" t="s">
        <v>189</v>
      </c>
      <c r="C574" s="8" t="s">
        <v>102</v>
      </c>
      <c r="D574" s="8" t="s">
        <v>725</v>
      </c>
      <c r="E574" s="8" t="s">
        <v>98</v>
      </c>
      <c r="F574" s="49">
        <f>F575</f>
        <v>5549.900000000001</v>
      </c>
      <c r="G574" s="39">
        <f>G575</f>
        <v>2629</v>
      </c>
      <c r="H574" s="39">
        <f>H575</f>
        <v>2629</v>
      </c>
    </row>
    <row r="575" spans="1:8" ht="36" customHeight="1">
      <c r="A575" s="7" t="s">
        <v>175</v>
      </c>
      <c r="B575" s="8" t="s">
        <v>189</v>
      </c>
      <c r="C575" s="8" t="s">
        <v>102</v>
      </c>
      <c r="D575" s="8" t="s">
        <v>726</v>
      </c>
      <c r="E575" s="8" t="s">
        <v>98</v>
      </c>
      <c r="F575" s="49">
        <f>F576+F579</f>
        <v>5549.900000000001</v>
      </c>
      <c r="G575" s="39">
        <f>G576+G579</f>
        <v>2629</v>
      </c>
      <c r="H575" s="39">
        <f>H576+H579</f>
        <v>2629</v>
      </c>
    </row>
    <row r="576" spans="1:8" ht="63.75">
      <c r="A576" s="7" t="s">
        <v>470</v>
      </c>
      <c r="B576" s="8" t="s">
        <v>189</v>
      </c>
      <c r="C576" s="8" t="s">
        <v>102</v>
      </c>
      <c r="D576" s="8" t="s">
        <v>471</v>
      </c>
      <c r="E576" s="8" t="s">
        <v>98</v>
      </c>
      <c r="F576" s="49">
        <f>F578+F577</f>
        <v>5549.900000000001</v>
      </c>
      <c r="G576" s="39">
        <f>G578</f>
        <v>2629</v>
      </c>
      <c r="H576" s="39">
        <f>H578</f>
        <v>2629</v>
      </c>
    </row>
    <row r="577" spans="1:8" ht="76.5">
      <c r="A577" s="7" t="s">
        <v>208</v>
      </c>
      <c r="B577" s="8" t="s">
        <v>189</v>
      </c>
      <c r="C577" s="8" t="s">
        <v>102</v>
      </c>
      <c r="D577" s="8" t="s">
        <v>471</v>
      </c>
      <c r="E577" s="8" t="s">
        <v>209</v>
      </c>
      <c r="F577" s="49">
        <f>2628.9+61.4</f>
        <v>2690.3</v>
      </c>
      <c r="G577" s="55"/>
      <c r="H577" s="55"/>
    </row>
    <row r="578" spans="1:8" ht="34.5" customHeight="1">
      <c r="A578" s="7" t="s">
        <v>170</v>
      </c>
      <c r="B578" s="8" t="s">
        <v>189</v>
      </c>
      <c r="C578" s="8" t="s">
        <v>102</v>
      </c>
      <c r="D578" s="8" t="s">
        <v>471</v>
      </c>
      <c r="E578" s="8" t="s">
        <v>171</v>
      </c>
      <c r="F578" s="49">
        <f>2629-143-270+1000+86.3-956.7+514</f>
        <v>2859.6000000000004</v>
      </c>
      <c r="G578" s="39">
        <v>2629</v>
      </c>
      <c r="H578" s="39">
        <v>2629</v>
      </c>
    </row>
    <row r="579" spans="1:8" ht="43.5" customHeight="1">
      <c r="A579" s="18" t="s">
        <v>448</v>
      </c>
      <c r="B579" s="13" t="s">
        <v>189</v>
      </c>
      <c r="C579" s="13" t="s">
        <v>102</v>
      </c>
      <c r="D579" s="13" t="s">
        <v>472</v>
      </c>
      <c r="E579" s="13" t="s">
        <v>98</v>
      </c>
      <c r="F579" s="49">
        <f>F580</f>
        <v>0</v>
      </c>
      <c r="G579" s="48">
        <f>G580</f>
        <v>0</v>
      </c>
      <c r="H579" s="48">
        <f>H580</f>
        <v>0</v>
      </c>
    </row>
    <row r="580" spans="1:8" ht="25.5">
      <c r="A580" s="7" t="s">
        <v>170</v>
      </c>
      <c r="B580" s="8" t="s">
        <v>189</v>
      </c>
      <c r="C580" s="8" t="s">
        <v>102</v>
      </c>
      <c r="D580" s="8" t="s">
        <v>472</v>
      </c>
      <c r="E580" s="8" t="s">
        <v>171</v>
      </c>
      <c r="F580" s="49">
        <f>9951.5-2190.5-1666.1-658-79-5357.9</f>
        <v>0</v>
      </c>
      <c r="G580" s="39">
        <v>0</v>
      </c>
      <c r="H580" s="39">
        <v>0</v>
      </c>
    </row>
    <row r="581" spans="1:8" ht="32.25" customHeight="1">
      <c r="A581" s="18" t="s">
        <v>199</v>
      </c>
      <c r="B581" s="13" t="s">
        <v>189</v>
      </c>
      <c r="C581" s="13" t="s">
        <v>102</v>
      </c>
      <c r="D581" s="13" t="s">
        <v>674</v>
      </c>
      <c r="E581" s="13" t="s">
        <v>98</v>
      </c>
      <c r="F581" s="49">
        <f>F584+F582</f>
        <v>53314</v>
      </c>
      <c r="G581" s="48">
        <f>G584</f>
        <v>47065</v>
      </c>
      <c r="H581" s="48">
        <f>H584</f>
        <v>47065</v>
      </c>
    </row>
    <row r="582" spans="1:8" ht="42" customHeight="1">
      <c r="A582" s="18" t="s">
        <v>333</v>
      </c>
      <c r="B582" s="13" t="s">
        <v>189</v>
      </c>
      <c r="C582" s="13" t="s">
        <v>102</v>
      </c>
      <c r="D582" s="13" t="s">
        <v>231</v>
      </c>
      <c r="E582" s="13" t="s">
        <v>98</v>
      </c>
      <c r="F582" s="49">
        <f>F583</f>
        <v>3400</v>
      </c>
      <c r="G582" s="48"/>
      <c r="H582" s="48"/>
    </row>
    <row r="583" spans="1:8" ht="32.25" customHeight="1">
      <c r="A583" s="7" t="s">
        <v>170</v>
      </c>
      <c r="B583" s="8" t="s">
        <v>189</v>
      </c>
      <c r="C583" s="8" t="s">
        <v>102</v>
      </c>
      <c r="D583" s="8" t="s">
        <v>231</v>
      </c>
      <c r="E583" s="8" t="s">
        <v>171</v>
      </c>
      <c r="F583" s="49">
        <f>2187+338+658+79+138</f>
        <v>3400</v>
      </c>
      <c r="G583" s="55"/>
      <c r="H583" s="55"/>
    </row>
    <row r="584" spans="1:8" ht="153">
      <c r="A584" s="7" t="s">
        <v>473</v>
      </c>
      <c r="B584" s="8" t="s">
        <v>189</v>
      </c>
      <c r="C584" s="8" t="s">
        <v>102</v>
      </c>
      <c r="D584" s="8" t="s">
        <v>474</v>
      </c>
      <c r="E584" s="8" t="s">
        <v>98</v>
      </c>
      <c r="F584" s="49">
        <f>F585</f>
        <v>49914</v>
      </c>
      <c r="G584" s="39">
        <f>G585</f>
        <v>47065</v>
      </c>
      <c r="H584" s="39">
        <f>H585</f>
        <v>47065</v>
      </c>
    </row>
    <row r="585" spans="1:8" ht="76.5">
      <c r="A585" s="7" t="s">
        <v>208</v>
      </c>
      <c r="B585" s="8" t="s">
        <v>189</v>
      </c>
      <c r="C585" s="8" t="s">
        <v>102</v>
      </c>
      <c r="D585" s="8" t="s">
        <v>474</v>
      </c>
      <c r="E585" s="8" t="s">
        <v>209</v>
      </c>
      <c r="F585" s="49">
        <f>47065-30+2879</f>
        <v>49914</v>
      </c>
      <c r="G585" s="39">
        <v>47065</v>
      </c>
      <c r="H585" s="39">
        <v>47065</v>
      </c>
    </row>
    <row r="586" spans="1:8" ht="21.75" customHeight="1">
      <c r="A586" s="18" t="s">
        <v>673</v>
      </c>
      <c r="B586" s="13" t="s">
        <v>189</v>
      </c>
      <c r="C586" s="13" t="s">
        <v>102</v>
      </c>
      <c r="D586" s="13" t="s">
        <v>676</v>
      </c>
      <c r="E586" s="13" t="s">
        <v>98</v>
      </c>
      <c r="F586" s="49">
        <f>F587</f>
        <v>24</v>
      </c>
      <c r="G586" s="48">
        <f>G587</f>
        <v>276</v>
      </c>
      <c r="H586" s="48">
        <f>H587</f>
        <v>276</v>
      </c>
    </row>
    <row r="587" spans="1:8" ht="30" customHeight="1">
      <c r="A587" s="18" t="s">
        <v>475</v>
      </c>
      <c r="B587" s="13" t="s">
        <v>189</v>
      </c>
      <c r="C587" s="13" t="s">
        <v>102</v>
      </c>
      <c r="D587" s="13" t="s">
        <v>716</v>
      </c>
      <c r="E587" s="13" t="s">
        <v>98</v>
      </c>
      <c r="F587" s="49">
        <f>F588+F589</f>
        <v>24</v>
      </c>
      <c r="G587" s="48">
        <f>G589</f>
        <v>276</v>
      </c>
      <c r="H587" s="48">
        <f>H589</f>
        <v>276</v>
      </c>
    </row>
    <row r="588" spans="1:8" ht="39" customHeight="1">
      <c r="A588" s="7" t="s">
        <v>172</v>
      </c>
      <c r="B588" s="13" t="s">
        <v>189</v>
      </c>
      <c r="C588" s="13" t="s">
        <v>102</v>
      </c>
      <c r="D588" s="13" t="s">
        <v>79</v>
      </c>
      <c r="E588" s="13" t="s">
        <v>158</v>
      </c>
      <c r="F588" s="49">
        <f>24</f>
        <v>24</v>
      </c>
      <c r="G588" s="48"/>
      <c r="H588" s="48"/>
    </row>
    <row r="589" spans="1:8" ht="30.75" customHeight="1">
      <c r="A589" s="7" t="s">
        <v>170</v>
      </c>
      <c r="B589" s="8" t="s">
        <v>189</v>
      </c>
      <c r="C589" s="8" t="s">
        <v>102</v>
      </c>
      <c r="D589" s="13" t="s">
        <v>716</v>
      </c>
      <c r="E589" s="8" t="s">
        <v>171</v>
      </c>
      <c r="F589" s="49">
        <f>276-276</f>
        <v>0</v>
      </c>
      <c r="G589" s="39">
        <v>276</v>
      </c>
      <c r="H589" s="39">
        <v>276</v>
      </c>
    </row>
    <row r="590" spans="1:8" ht="24" customHeight="1">
      <c r="A590" s="7" t="s">
        <v>476</v>
      </c>
      <c r="B590" s="8" t="s">
        <v>189</v>
      </c>
      <c r="C590" s="8" t="s">
        <v>104</v>
      </c>
      <c r="D590" s="8" t="s">
        <v>99</v>
      </c>
      <c r="E590" s="8" t="s">
        <v>98</v>
      </c>
      <c r="F590" s="48">
        <f>F591+F593+F595+F608+F620+F623</f>
        <v>64640.299999999996</v>
      </c>
      <c r="G590" s="39">
        <f>G593+G595+G608+G620+G623</f>
        <v>40050.7</v>
      </c>
      <c r="H590" s="39">
        <f>H593+H595+H608+H620+H623</f>
        <v>40050.7</v>
      </c>
    </row>
    <row r="591" spans="1:8" ht="57" customHeight="1">
      <c r="A591" s="7" t="s">
        <v>467</v>
      </c>
      <c r="B591" s="8" t="s">
        <v>189</v>
      </c>
      <c r="C591" s="8" t="s">
        <v>104</v>
      </c>
      <c r="D591" s="8" t="s">
        <v>468</v>
      </c>
      <c r="E591" s="8" t="s">
        <v>98</v>
      </c>
      <c r="F591" s="48">
        <f>F592</f>
        <v>15663.699999999999</v>
      </c>
      <c r="G591" s="39"/>
      <c r="H591" s="39"/>
    </row>
    <row r="592" spans="1:8" ht="35.25" customHeight="1">
      <c r="A592" s="7" t="s">
        <v>170</v>
      </c>
      <c r="B592" s="8" t="s">
        <v>189</v>
      </c>
      <c r="C592" s="8" t="s">
        <v>104</v>
      </c>
      <c r="D592" s="8" t="s">
        <v>468</v>
      </c>
      <c r="E592" s="8" t="s">
        <v>171</v>
      </c>
      <c r="F592" s="48">
        <f>15000+306-0.6+358.3</f>
        <v>15663.699999999999</v>
      </c>
      <c r="G592" s="39"/>
      <c r="H592" s="39"/>
    </row>
    <row r="593" spans="1:8" ht="107.25" customHeight="1">
      <c r="A593" s="7" t="s">
        <v>478</v>
      </c>
      <c r="B593" s="8" t="s">
        <v>189</v>
      </c>
      <c r="C593" s="8" t="s">
        <v>104</v>
      </c>
      <c r="D593" s="8" t="s">
        <v>479</v>
      </c>
      <c r="E593" s="8" t="s">
        <v>98</v>
      </c>
      <c r="F593" s="48">
        <f>F594</f>
        <v>2976.1</v>
      </c>
      <c r="G593" s="39">
        <f>G594</f>
        <v>0</v>
      </c>
      <c r="H593" s="39">
        <f>H594</f>
        <v>0</v>
      </c>
    </row>
    <row r="594" spans="1:8" ht="34.5" customHeight="1">
      <c r="A594" s="7" t="s">
        <v>170</v>
      </c>
      <c r="B594" s="8" t="s">
        <v>189</v>
      </c>
      <c r="C594" s="8" t="s">
        <v>104</v>
      </c>
      <c r="D594" s="8" t="s">
        <v>479</v>
      </c>
      <c r="E594" s="8" t="s">
        <v>171</v>
      </c>
      <c r="F594" s="48">
        <f>1390.3+1585.8</f>
        <v>2976.1</v>
      </c>
      <c r="G594" s="39">
        <v>0</v>
      </c>
      <c r="H594" s="39">
        <v>0</v>
      </c>
    </row>
    <row r="595" spans="1:8" ht="31.5" customHeight="1">
      <c r="A595" s="7" t="s">
        <v>469</v>
      </c>
      <c r="B595" s="8" t="s">
        <v>189</v>
      </c>
      <c r="C595" s="8" t="s">
        <v>104</v>
      </c>
      <c r="D595" s="8" t="s">
        <v>727</v>
      </c>
      <c r="E595" s="8" t="s">
        <v>98</v>
      </c>
      <c r="F595" s="48">
        <f>F596</f>
        <v>3733.7</v>
      </c>
      <c r="G595" s="39">
        <f>G596</f>
        <v>392</v>
      </c>
      <c r="H595" s="39">
        <f>H596</f>
        <v>392</v>
      </c>
    </row>
    <row r="596" spans="1:8" ht="34.5" customHeight="1">
      <c r="A596" s="7" t="s">
        <v>175</v>
      </c>
      <c r="B596" s="8" t="s">
        <v>189</v>
      </c>
      <c r="C596" s="8" t="s">
        <v>104</v>
      </c>
      <c r="D596" s="8" t="s">
        <v>726</v>
      </c>
      <c r="E596" s="8" t="s">
        <v>98</v>
      </c>
      <c r="F596" s="48">
        <f>F597+F601+F603+F605</f>
        <v>3733.7</v>
      </c>
      <c r="G596" s="39">
        <f>G597+G601+G603+G605</f>
        <v>392</v>
      </c>
      <c r="H596" s="39">
        <f>H597+H601+H603+H605</f>
        <v>392</v>
      </c>
    </row>
    <row r="597" spans="1:8" ht="66" customHeight="1">
      <c r="A597" s="7" t="s">
        <v>470</v>
      </c>
      <c r="B597" s="8" t="s">
        <v>189</v>
      </c>
      <c r="C597" s="8" t="s">
        <v>104</v>
      </c>
      <c r="D597" s="8" t="s">
        <v>471</v>
      </c>
      <c r="E597" s="8" t="s">
        <v>98</v>
      </c>
      <c r="F597" s="48">
        <f>F600+F599+F598</f>
        <v>2648.4</v>
      </c>
      <c r="G597" s="39">
        <f>G600</f>
        <v>342</v>
      </c>
      <c r="H597" s="39">
        <f>H600</f>
        <v>342</v>
      </c>
    </row>
    <row r="598" spans="1:8" ht="33" customHeight="1">
      <c r="A598" s="7" t="s">
        <v>593</v>
      </c>
      <c r="B598" s="8" t="s">
        <v>189</v>
      </c>
      <c r="C598" s="8" t="s">
        <v>104</v>
      </c>
      <c r="D598" s="8" t="s">
        <v>471</v>
      </c>
      <c r="E598" s="8" t="s">
        <v>594</v>
      </c>
      <c r="F598" s="48">
        <f>232.8+31.8</f>
        <v>264.6</v>
      </c>
      <c r="G598" s="39"/>
      <c r="H598" s="39"/>
    </row>
    <row r="599" spans="1:8" ht="78" customHeight="1">
      <c r="A599" s="7" t="s">
        <v>208</v>
      </c>
      <c r="B599" s="8" t="s">
        <v>189</v>
      </c>
      <c r="C599" s="8" t="s">
        <v>104</v>
      </c>
      <c r="D599" s="8" t="s">
        <v>471</v>
      </c>
      <c r="E599" s="8" t="s">
        <v>209</v>
      </c>
      <c r="F599" s="49">
        <f>414.6+220+44+251.2</f>
        <v>929.8</v>
      </c>
      <c r="G599" s="39"/>
      <c r="H599" s="39"/>
    </row>
    <row r="600" spans="1:8" ht="31.5" customHeight="1">
      <c r="A600" s="7" t="s">
        <v>170</v>
      </c>
      <c r="B600" s="8" t="s">
        <v>189</v>
      </c>
      <c r="C600" s="8" t="s">
        <v>104</v>
      </c>
      <c r="D600" s="8" t="s">
        <v>471</v>
      </c>
      <c r="E600" s="8" t="s">
        <v>171</v>
      </c>
      <c r="F600" s="49">
        <f>342+195+133+160+613.7+483.4-473.1</f>
        <v>1454</v>
      </c>
      <c r="G600" s="39">
        <v>342</v>
      </c>
      <c r="H600" s="39">
        <v>342</v>
      </c>
    </row>
    <row r="601" spans="1:8" ht="66.75" customHeight="1">
      <c r="A601" s="7" t="s">
        <v>480</v>
      </c>
      <c r="B601" s="8" t="s">
        <v>189</v>
      </c>
      <c r="C601" s="8" t="s">
        <v>104</v>
      </c>
      <c r="D601" s="8" t="s">
        <v>481</v>
      </c>
      <c r="E601" s="8" t="s">
        <v>98</v>
      </c>
      <c r="F601" s="49">
        <f>F602</f>
        <v>50</v>
      </c>
      <c r="G601" s="39">
        <f>G602</f>
        <v>50</v>
      </c>
      <c r="H601" s="39">
        <f>H602</f>
        <v>50</v>
      </c>
    </row>
    <row r="602" spans="1:8" ht="30" customHeight="1">
      <c r="A602" s="7" t="s">
        <v>170</v>
      </c>
      <c r="B602" s="8" t="s">
        <v>189</v>
      </c>
      <c r="C602" s="8" t="s">
        <v>104</v>
      </c>
      <c r="D602" s="8" t="s">
        <v>481</v>
      </c>
      <c r="E602" s="8" t="s">
        <v>171</v>
      </c>
      <c r="F602" s="49">
        <v>50</v>
      </c>
      <c r="G602" s="39">
        <v>50</v>
      </c>
      <c r="H602" s="39">
        <v>50</v>
      </c>
    </row>
    <row r="603" spans="1:8" ht="42.75" customHeight="1">
      <c r="A603" s="7" t="s">
        <v>448</v>
      </c>
      <c r="B603" s="8" t="s">
        <v>189</v>
      </c>
      <c r="C603" s="8" t="s">
        <v>104</v>
      </c>
      <c r="D603" s="8" t="s">
        <v>472</v>
      </c>
      <c r="E603" s="8" t="s">
        <v>98</v>
      </c>
      <c r="F603" s="49">
        <f>F604</f>
        <v>0</v>
      </c>
      <c r="G603" s="39">
        <f>G604</f>
        <v>0</v>
      </c>
      <c r="H603" s="39">
        <f>H604</f>
        <v>0</v>
      </c>
    </row>
    <row r="604" spans="1:8" ht="30.75" customHeight="1">
      <c r="A604" s="7" t="s">
        <v>170</v>
      </c>
      <c r="B604" s="8" t="s">
        <v>189</v>
      </c>
      <c r="C604" s="8" t="s">
        <v>104</v>
      </c>
      <c r="D604" s="8" t="s">
        <v>472</v>
      </c>
      <c r="E604" s="8" t="s">
        <v>171</v>
      </c>
      <c r="F604" s="49">
        <f>260-260</f>
        <v>0</v>
      </c>
      <c r="G604" s="39">
        <v>0</v>
      </c>
      <c r="H604" s="39">
        <v>0</v>
      </c>
    </row>
    <row r="605" spans="1:8" ht="30.75" customHeight="1">
      <c r="A605" s="7" t="s">
        <v>728</v>
      </c>
      <c r="B605" s="8" t="s">
        <v>189</v>
      </c>
      <c r="C605" s="8" t="s">
        <v>104</v>
      </c>
      <c r="D605" s="8" t="s">
        <v>482</v>
      </c>
      <c r="E605" s="8" t="s">
        <v>98</v>
      </c>
      <c r="F605" s="49">
        <f>F606+F607</f>
        <v>1035.3</v>
      </c>
      <c r="G605" s="39">
        <f>G607</f>
        <v>0</v>
      </c>
      <c r="H605" s="39">
        <f>H607</f>
        <v>0</v>
      </c>
    </row>
    <row r="606" spans="1:8" ht="30.75" customHeight="1">
      <c r="A606" s="7" t="s">
        <v>593</v>
      </c>
      <c r="B606" s="8" t="s">
        <v>189</v>
      </c>
      <c r="C606" s="8" t="s">
        <v>104</v>
      </c>
      <c r="D606" s="8" t="s">
        <v>482</v>
      </c>
      <c r="E606" s="8" t="s">
        <v>594</v>
      </c>
      <c r="F606" s="49">
        <f>1035.3</f>
        <v>1035.3</v>
      </c>
      <c r="G606" s="39"/>
      <c r="H606" s="39"/>
    </row>
    <row r="607" spans="1:8" ht="32.25" customHeight="1">
      <c r="A607" s="7" t="s">
        <v>170</v>
      </c>
      <c r="B607" s="8" t="s">
        <v>189</v>
      </c>
      <c r="C607" s="8" t="s">
        <v>104</v>
      </c>
      <c r="D607" s="8" t="s">
        <v>482</v>
      </c>
      <c r="E607" s="8" t="s">
        <v>171</v>
      </c>
      <c r="F607" s="49">
        <f>1036.1+80-1116.1</f>
        <v>0</v>
      </c>
      <c r="G607" s="39">
        <v>0</v>
      </c>
      <c r="H607" s="39">
        <v>0</v>
      </c>
    </row>
    <row r="608" spans="1:8" ht="30" customHeight="1">
      <c r="A608" s="7" t="s">
        <v>483</v>
      </c>
      <c r="B608" s="8" t="s">
        <v>189</v>
      </c>
      <c r="C608" s="8" t="s">
        <v>104</v>
      </c>
      <c r="D608" s="8" t="s">
        <v>729</v>
      </c>
      <c r="E608" s="8" t="s">
        <v>98</v>
      </c>
      <c r="F608" s="49">
        <f>F609</f>
        <v>876.0999999999999</v>
      </c>
      <c r="G608" s="39">
        <f>G609</f>
        <v>29</v>
      </c>
      <c r="H608" s="39">
        <f>H609</f>
        <v>29</v>
      </c>
    </row>
    <row r="609" spans="1:8" ht="30.75" customHeight="1">
      <c r="A609" s="7" t="s">
        <v>175</v>
      </c>
      <c r="B609" s="8" t="s">
        <v>189</v>
      </c>
      <c r="C609" s="8" t="s">
        <v>104</v>
      </c>
      <c r="D609" s="8" t="s">
        <v>730</v>
      </c>
      <c r="E609" s="8" t="s">
        <v>98</v>
      </c>
      <c r="F609" s="48">
        <f>F610+F615+F617</f>
        <v>876.0999999999999</v>
      </c>
      <c r="G609" s="39">
        <f>G610+G615+G617</f>
        <v>29</v>
      </c>
      <c r="H609" s="39">
        <f>H610+H615+H617</f>
        <v>29</v>
      </c>
    </row>
    <row r="610" spans="1:8" ht="57.75" customHeight="1">
      <c r="A610" s="7" t="s">
        <v>484</v>
      </c>
      <c r="B610" s="8" t="s">
        <v>189</v>
      </c>
      <c r="C610" s="8" t="s">
        <v>104</v>
      </c>
      <c r="D610" s="8" t="s">
        <v>485</v>
      </c>
      <c r="E610" s="8" t="s">
        <v>98</v>
      </c>
      <c r="F610" s="49">
        <f>F611+F612+F613+F614</f>
        <v>691.4</v>
      </c>
      <c r="G610" s="39">
        <f>G613</f>
        <v>29</v>
      </c>
      <c r="H610" s="39">
        <f>H613</f>
        <v>29</v>
      </c>
    </row>
    <row r="611" spans="1:8" ht="33.75" customHeight="1">
      <c r="A611" s="7" t="s">
        <v>593</v>
      </c>
      <c r="B611" s="8" t="s">
        <v>189</v>
      </c>
      <c r="C611" s="8" t="s">
        <v>104</v>
      </c>
      <c r="D611" s="8" t="s">
        <v>485</v>
      </c>
      <c r="E611" s="8" t="s">
        <v>594</v>
      </c>
      <c r="F611" s="48">
        <f>196.2-31.8</f>
        <v>164.39999999999998</v>
      </c>
      <c r="G611" s="39"/>
      <c r="H611" s="39"/>
    </row>
    <row r="612" spans="1:8" ht="83.25" customHeight="1">
      <c r="A612" s="7" t="s">
        <v>208</v>
      </c>
      <c r="B612" s="8" t="s">
        <v>189</v>
      </c>
      <c r="C612" s="8" t="s">
        <v>104</v>
      </c>
      <c r="D612" s="8" t="s">
        <v>485</v>
      </c>
      <c r="E612" s="8" t="s">
        <v>209</v>
      </c>
      <c r="F612" s="48">
        <f>112.3+213</f>
        <v>325.3</v>
      </c>
      <c r="G612" s="39"/>
      <c r="H612" s="39"/>
    </row>
    <row r="613" spans="1:8" ht="29.25" customHeight="1">
      <c r="A613" s="7" t="s">
        <v>170</v>
      </c>
      <c r="B613" s="8" t="s">
        <v>189</v>
      </c>
      <c r="C613" s="8" t="s">
        <v>104</v>
      </c>
      <c r="D613" s="8" t="s">
        <v>485</v>
      </c>
      <c r="E613" s="8" t="s">
        <v>171</v>
      </c>
      <c r="F613" s="48">
        <f>65.2+10+50+47.2</f>
        <v>172.4</v>
      </c>
      <c r="G613" s="39">
        <v>29</v>
      </c>
      <c r="H613" s="39">
        <v>29</v>
      </c>
    </row>
    <row r="614" spans="1:8" ht="83.25" customHeight="1">
      <c r="A614" s="18" t="s">
        <v>80</v>
      </c>
      <c r="B614" s="13" t="s">
        <v>189</v>
      </c>
      <c r="C614" s="13" t="s">
        <v>104</v>
      </c>
      <c r="D614" s="13" t="s">
        <v>485</v>
      </c>
      <c r="E614" s="13" t="s">
        <v>302</v>
      </c>
      <c r="F614" s="48">
        <f>29.3</f>
        <v>29.3</v>
      </c>
      <c r="G614" s="48"/>
      <c r="H614" s="48"/>
    </row>
    <row r="615" spans="1:8" ht="39.75" customHeight="1">
      <c r="A615" s="7" t="s">
        <v>448</v>
      </c>
      <c r="B615" s="8" t="s">
        <v>189</v>
      </c>
      <c r="C615" s="8" t="s">
        <v>104</v>
      </c>
      <c r="D615" s="8" t="s">
        <v>486</v>
      </c>
      <c r="E615" s="8" t="s">
        <v>98</v>
      </c>
      <c r="F615" s="49">
        <f>F616</f>
        <v>0</v>
      </c>
      <c r="G615" s="39">
        <f>G616</f>
        <v>0</v>
      </c>
      <c r="H615" s="39">
        <f>H616</f>
        <v>0</v>
      </c>
    </row>
    <row r="616" spans="1:8" ht="27" customHeight="1">
      <c r="A616" s="7" t="s">
        <v>170</v>
      </c>
      <c r="B616" s="8" t="s">
        <v>189</v>
      </c>
      <c r="C616" s="8" t="s">
        <v>104</v>
      </c>
      <c r="D616" s="8" t="s">
        <v>486</v>
      </c>
      <c r="E616" s="8" t="s">
        <v>171</v>
      </c>
      <c r="F616" s="48">
        <f>40-40</f>
        <v>0</v>
      </c>
      <c r="G616" s="39">
        <v>0</v>
      </c>
      <c r="H616" s="39">
        <v>0</v>
      </c>
    </row>
    <row r="617" spans="1:8" ht="35.25" customHeight="1">
      <c r="A617" s="7" t="s">
        <v>600</v>
      </c>
      <c r="B617" s="8" t="s">
        <v>189</v>
      </c>
      <c r="C617" s="8" t="s">
        <v>104</v>
      </c>
      <c r="D617" s="8" t="s">
        <v>487</v>
      </c>
      <c r="E617" s="8" t="s">
        <v>98</v>
      </c>
      <c r="F617" s="48">
        <f>F618+F619</f>
        <v>184.7</v>
      </c>
      <c r="G617" s="39">
        <f>G619</f>
        <v>0</v>
      </c>
      <c r="H617" s="39">
        <f>H619</f>
        <v>0</v>
      </c>
    </row>
    <row r="618" spans="1:8" ht="27" customHeight="1">
      <c r="A618" s="7" t="s">
        <v>593</v>
      </c>
      <c r="B618" s="8" t="s">
        <v>189</v>
      </c>
      <c r="C618" s="8" t="s">
        <v>104</v>
      </c>
      <c r="D618" s="8" t="s">
        <v>487</v>
      </c>
      <c r="E618" s="8" t="s">
        <v>594</v>
      </c>
      <c r="F618" s="48">
        <f>184.7</f>
        <v>184.7</v>
      </c>
      <c r="G618" s="39"/>
      <c r="H618" s="39"/>
    </row>
    <row r="619" spans="1:8" ht="31.5" customHeight="1">
      <c r="A619" s="7" t="s">
        <v>170</v>
      </c>
      <c r="B619" s="8" t="s">
        <v>189</v>
      </c>
      <c r="C619" s="8" t="s">
        <v>104</v>
      </c>
      <c r="D619" s="8" t="s">
        <v>487</v>
      </c>
      <c r="E619" s="8" t="s">
        <v>171</v>
      </c>
      <c r="F619" s="49">
        <f>183.9-80-103.9</f>
        <v>0</v>
      </c>
      <c r="G619" s="39">
        <v>0</v>
      </c>
      <c r="H619" s="39">
        <v>0</v>
      </c>
    </row>
    <row r="620" spans="1:8" ht="23.25" customHeight="1">
      <c r="A620" s="7" t="s">
        <v>488</v>
      </c>
      <c r="B620" s="8" t="s">
        <v>189</v>
      </c>
      <c r="C620" s="8" t="s">
        <v>104</v>
      </c>
      <c r="D620" s="8" t="s">
        <v>731</v>
      </c>
      <c r="E620" s="8" t="s">
        <v>98</v>
      </c>
      <c r="F620" s="49">
        <f aca="true" t="shared" si="25" ref="F620:H621">F621</f>
        <v>3570</v>
      </c>
      <c r="G620" s="39">
        <f t="shared" si="25"/>
        <v>2520</v>
      </c>
      <c r="H620" s="39">
        <f t="shared" si="25"/>
        <v>2520</v>
      </c>
    </row>
    <row r="621" spans="1:8" ht="69.75" customHeight="1">
      <c r="A621" s="7" t="s">
        <v>489</v>
      </c>
      <c r="B621" s="8" t="s">
        <v>189</v>
      </c>
      <c r="C621" s="8" t="s">
        <v>104</v>
      </c>
      <c r="D621" s="8" t="s">
        <v>490</v>
      </c>
      <c r="E621" s="8" t="s">
        <v>98</v>
      </c>
      <c r="F621" s="49">
        <f t="shared" si="25"/>
        <v>3570</v>
      </c>
      <c r="G621" s="39">
        <f t="shared" si="25"/>
        <v>2520</v>
      </c>
      <c r="H621" s="39">
        <f t="shared" si="25"/>
        <v>2520</v>
      </c>
    </row>
    <row r="622" spans="1:8" ht="38.25">
      <c r="A622" s="7" t="s">
        <v>494</v>
      </c>
      <c r="B622" s="8" t="s">
        <v>189</v>
      </c>
      <c r="C622" s="8" t="s">
        <v>104</v>
      </c>
      <c r="D622" s="8" t="s">
        <v>490</v>
      </c>
      <c r="E622" s="8" t="s">
        <v>495</v>
      </c>
      <c r="F622" s="48">
        <f>2520+1050</f>
        <v>3570</v>
      </c>
      <c r="G622" s="39">
        <v>2520</v>
      </c>
      <c r="H622" s="39">
        <v>2520</v>
      </c>
    </row>
    <row r="623" spans="1:8" ht="35.25" customHeight="1">
      <c r="A623" s="7" t="s">
        <v>199</v>
      </c>
      <c r="B623" s="8" t="s">
        <v>189</v>
      </c>
      <c r="C623" s="8" t="s">
        <v>104</v>
      </c>
      <c r="D623" s="8" t="s">
        <v>670</v>
      </c>
      <c r="E623" s="8" t="s">
        <v>98</v>
      </c>
      <c r="F623" s="48">
        <f>F624+F627</f>
        <v>37820.7</v>
      </c>
      <c r="G623" s="39">
        <f>G624+G627</f>
        <v>37109.7</v>
      </c>
      <c r="H623" s="39">
        <f>H624+H627</f>
        <v>37109.7</v>
      </c>
    </row>
    <row r="624" spans="1:8" ht="83.25" customHeight="1">
      <c r="A624" s="7" t="s">
        <v>496</v>
      </c>
      <c r="B624" s="8" t="s">
        <v>189</v>
      </c>
      <c r="C624" s="8" t="s">
        <v>104</v>
      </c>
      <c r="D624" s="8" t="s">
        <v>497</v>
      </c>
      <c r="E624" s="8" t="s">
        <v>98</v>
      </c>
      <c r="F624" s="49">
        <f>F625+F626</f>
        <v>2157</v>
      </c>
      <c r="G624" s="39">
        <f>G626</f>
        <v>1587</v>
      </c>
      <c r="H624" s="39">
        <f>H626</f>
        <v>1587</v>
      </c>
    </row>
    <row r="625" spans="1:8" ht="39" customHeight="1">
      <c r="A625" s="7" t="s">
        <v>172</v>
      </c>
      <c r="B625" s="8" t="s">
        <v>189</v>
      </c>
      <c r="C625" s="8" t="s">
        <v>104</v>
      </c>
      <c r="D625" s="8" t="s">
        <v>497</v>
      </c>
      <c r="E625" s="8" t="s">
        <v>158</v>
      </c>
      <c r="F625" s="49">
        <f>2237-80</f>
        <v>2157</v>
      </c>
      <c r="G625" s="39"/>
      <c r="H625" s="39"/>
    </row>
    <row r="626" spans="1:8" ht="28.5" customHeight="1">
      <c r="A626" s="7" t="s">
        <v>170</v>
      </c>
      <c r="B626" s="8" t="s">
        <v>189</v>
      </c>
      <c r="C626" s="8" t="s">
        <v>104</v>
      </c>
      <c r="D626" s="8" t="s">
        <v>497</v>
      </c>
      <c r="E626" s="8" t="s">
        <v>171</v>
      </c>
      <c r="F626" s="49">
        <f>1587-1587+1587+650-2237</f>
        <v>0</v>
      </c>
      <c r="G626" s="39">
        <v>1587</v>
      </c>
      <c r="H626" s="39">
        <v>1587</v>
      </c>
    </row>
    <row r="627" spans="1:8" ht="160.5" customHeight="1">
      <c r="A627" s="7" t="s">
        <v>473</v>
      </c>
      <c r="B627" s="8" t="s">
        <v>189</v>
      </c>
      <c r="C627" s="8" t="s">
        <v>104</v>
      </c>
      <c r="D627" s="8" t="s">
        <v>474</v>
      </c>
      <c r="E627" s="8" t="s">
        <v>98</v>
      </c>
      <c r="F627" s="49">
        <f>F628+F629</f>
        <v>35663.7</v>
      </c>
      <c r="G627" s="39">
        <f>G628</f>
        <v>35522.7</v>
      </c>
      <c r="H627" s="39">
        <f>H628</f>
        <v>35522.7</v>
      </c>
    </row>
    <row r="628" spans="1:8" ht="84" customHeight="1">
      <c r="A628" s="7" t="s">
        <v>208</v>
      </c>
      <c r="B628" s="8" t="s">
        <v>189</v>
      </c>
      <c r="C628" s="8" t="s">
        <v>104</v>
      </c>
      <c r="D628" s="8" t="s">
        <v>474</v>
      </c>
      <c r="E628" s="8" t="s">
        <v>209</v>
      </c>
      <c r="F628" s="49">
        <f>35522.7-400-577+831</f>
        <v>35376.7</v>
      </c>
      <c r="G628" s="39">
        <v>35522.7</v>
      </c>
      <c r="H628" s="39">
        <v>35522.7</v>
      </c>
    </row>
    <row r="629" spans="1:8" ht="84" customHeight="1">
      <c r="A629" s="7" t="s">
        <v>306</v>
      </c>
      <c r="B629" s="8" t="s">
        <v>189</v>
      </c>
      <c r="C629" s="8" t="s">
        <v>104</v>
      </c>
      <c r="D629" s="8" t="s">
        <v>474</v>
      </c>
      <c r="E629" s="8" t="s">
        <v>302</v>
      </c>
      <c r="F629" s="49">
        <f>577-290</f>
        <v>287</v>
      </c>
      <c r="G629" s="39"/>
      <c r="H629" s="39"/>
    </row>
    <row r="630" spans="1:8" ht="32.25" customHeight="1">
      <c r="A630" s="7" t="s">
        <v>498</v>
      </c>
      <c r="B630" s="8" t="s">
        <v>189</v>
      </c>
      <c r="C630" s="8" t="s">
        <v>110</v>
      </c>
      <c r="D630" s="8" t="s">
        <v>99</v>
      </c>
      <c r="E630" s="8" t="s">
        <v>98</v>
      </c>
      <c r="F630" s="49">
        <f>F634+F631</f>
        <v>1242.1</v>
      </c>
      <c r="G630" s="39">
        <f>G634</f>
        <v>950.6</v>
      </c>
      <c r="H630" s="39">
        <f>H634</f>
        <v>950.6</v>
      </c>
    </row>
    <row r="631" spans="1:8" ht="33" customHeight="1">
      <c r="A631" s="7" t="s">
        <v>175</v>
      </c>
      <c r="B631" s="8" t="s">
        <v>189</v>
      </c>
      <c r="C631" s="8" t="s">
        <v>110</v>
      </c>
      <c r="D631" s="8" t="s">
        <v>726</v>
      </c>
      <c r="E631" s="8" t="s">
        <v>98</v>
      </c>
      <c r="F631" s="49">
        <f>F632</f>
        <v>11.5</v>
      </c>
      <c r="G631" s="39"/>
      <c r="H631" s="39"/>
    </row>
    <row r="632" spans="1:8" ht="69.75" customHeight="1">
      <c r="A632" s="7" t="s">
        <v>470</v>
      </c>
      <c r="B632" s="8" t="s">
        <v>189</v>
      </c>
      <c r="C632" s="8" t="s">
        <v>110</v>
      </c>
      <c r="D632" s="8" t="s">
        <v>471</v>
      </c>
      <c r="E632" s="8"/>
      <c r="F632" s="49">
        <f>F633</f>
        <v>11.5</v>
      </c>
      <c r="G632" s="39"/>
      <c r="H632" s="39"/>
    </row>
    <row r="633" spans="1:8" ht="81" customHeight="1">
      <c r="A633" s="7" t="s">
        <v>208</v>
      </c>
      <c r="B633" s="8" t="s">
        <v>189</v>
      </c>
      <c r="C633" s="8" t="s">
        <v>110</v>
      </c>
      <c r="D633" s="8" t="s">
        <v>471</v>
      </c>
      <c r="E633" s="8" t="s">
        <v>209</v>
      </c>
      <c r="F633" s="49">
        <f>11.5</f>
        <v>11.5</v>
      </c>
      <c r="G633" s="39"/>
      <c r="H633" s="39"/>
    </row>
    <row r="634" spans="1:8" ht="34.5" customHeight="1">
      <c r="A634" s="7" t="s">
        <v>199</v>
      </c>
      <c r="B634" s="8" t="s">
        <v>189</v>
      </c>
      <c r="C634" s="8" t="s">
        <v>110</v>
      </c>
      <c r="D634" s="8" t="s">
        <v>670</v>
      </c>
      <c r="E634" s="8" t="s">
        <v>98</v>
      </c>
      <c r="F634" s="49">
        <f aca="true" t="shared" si="26" ref="F634:H635">F635</f>
        <v>1230.6</v>
      </c>
      <c r="G634" s="39">
        <f t="shared" si="26"/>
        <v>950.6</v>
      </c>
      <c r="H634" s="39">
        <f t="shared" si="26"/>
        <v>950.6</v>
      </c>
    </row>
    <row r="635" spans="1:8" ht="153">
      <c r="A635" s="7" t="s">
        <v>473</v>
      </c>
      <c r="B635" s="8" t="s">
        <v>189</v>
      </c>
      <c r="C635" s="8" t="s">
        <v>110</v>
      </c>
      <c r="D635" s="8" t="s">
        <v>474</v>
      </c>
      <c r="E635" s="8" t="s">
        <v>98</v>
      </c>
      <c r="F635" s="49">
        <f t="shared" si="26"/>
        <v>1230.6</v>
      </c>
      <c r="G635" s="39">
        <f t="shared" si="26"/>
        <v>950.6</v>
      </c>
      <c r="H635" s="39">
        <f t="shared" si="26"/>
        <v>950.6</v>
      </c>
    </row>
    <row r="636" spans="1:8" ht="85.5" customHeight="1">
      <c r="A636" s="7" t="s">
        <v>208</v>
      </c>
      <c r="B636" s="8" t="s">
        <v>189</v>
      </c>
      <c r="C636" s="8" t="s">
        <v>110</v>
      </c>
      <c r="D636" s="8" t="s">
        <v>474</v>
      </c>
      <c r="E636" s="8" t="s">
        <v>209</v>
      </c>
      <c r="F636" s="49">
        <f>950.6+430-150</f>
        <v>1230.6</v>
      </c>
      <c r="G636" s="39">
        <v>950.6</v>
      </c>
      <c r="H636" s="39">
        <v>950.6</v>
      </c>
    </row>
    <row r="637" spans="1:8" ht="19.5" customHeight="1">
      <c r="A637" s="7" t="s">
        <v>502</v>
      </c>
      <c r="B637" s="8" t="s">
        <v>189</v>
      </c>
      <c r="C637" s="8" t="s">
        <v>123</v>
      </c>
      <c r="D637" s="8" t="s">
        <v>99</v>
      </c>
      <c r="E637" s="8" t="s">
        <v>98</v>
      </c>
      <c r="F637" s="49">
        <f>F638+F645</f>
        <v>47878.1</v>
      </c>
      <c r="G637" s="39">
        <f>G638+G645</f>
        <v>36350</v>
      </c>
      <c r="H637" s="39">
        <f>H638+H645</f>
        <v>36350</v>
      </c>
    </row>
    <row r="638" spans="1:8" ht="20.25" customHeight="1">
      <c r="A638" s="7" t="s">
        <v>503</v>
      </c>
      <c r="B638" s="8" t="s">
        <v>189</v>
      </c>
      <c r="C638" s="8" t="s">
        <v>123</v>
      </c>
      <c r="D638" s="8" t="s">
        <v>732</v>
      </c>
      <c r="E638" s="8" t="s">
        <v>98</v>
      </c>
      <c r="F638" s="49">
        <f>F639</f>
        <v>2435.4</v>
      </c>
      <c r="G638" s="39">
        <f>G639</f>
        <v>0</v>
      </c>
      <c r="H638" s="39">
        <f>H639</f>
        <v>0</v>
      </c>
    </row>
    <row r="639" spans="1:8" ht="35.25" customHeight="1">
      <c r="A639" s="7" t="s">
        <v>175</v>
      </c>
      <c r="B639" s="8" t="s">
        <v>189</v>
      </c>
      <c r="C639" s="8" t="s">
        <v>123</v>
      </c>
      <c r="D639" s="8" t="s">
        <v>733</v>
      </c>
      <c r="E639" s="8" t="s">
        <v>98</v>
      </c>
      <c r="F639" s="49">
        <f>F640+F643</f>
        <v>2435.4</v>
      </c>
      <c r="G639" s="39">
        <f>G643</f>
        <v>0</v>
      </c>
      <c r="H639" s="39">
        <f>H643</f>
        <v>0</v>
      </c>
    </row>
    <row r="640" spans="1:8" ht="55.5" customHeight="1">
      <c r="A640" s="7" t="s">
        <v>445</v>
      </c>
      <c r="B640" s="8" t="s">
        <v>189</v>
      </c>
      <c r="C640" s="8" t="s">
        <v>123</v>
      </c>
      <c r="D640" s="8" t="s">
        <v>212</v>
      </c>
      <c r="E640" s="8"/>
      <c r="F640" s="49">
        <f>F641+F642</f>
        <v>2435.4</v>
      </c>
      <c r="G640" s="39"/>
      <c r="H640" s="39"/>
    </row>
    <row r="641" spans="1:8" ht="83.25" customHeight="1">
      <c r="A641" s="7" t="s">
        <v>208</v>
      </c>
      <c r="B641" s="8" t="s">
        <v>189</v>
      </c>
      <c r="C641" s="8" t="s">
        <v>123</v>
      </c>
      <c r="D641" s="8" t="s">
        <v>212</v>
      </c>
      <c r="E641" s="8" t="s">
        <v>209</v>
      </c>
      <c r="F641" s="49">
        <v>1949.3</v>
      </c>
      <c r="G641" s="39"/>
      <c r="H641" s="39"/>
    </row>
    <row r="642" spans="1:8" ht="32.25" customHeight="1">
      <c r="A642" s="7" t="s">
        <v>170</v>
      </c>
      <c r="B642" s="8" t="s">
        <v>189</v>
      </c>
      <c r="C642" s="8" t="s">
        <v>123</v>
      </c>
      <c r="D642" s="8" t="s">
        <v>212</v>
      </c>
      <c r="E642" s="8" t="s">
        <v>171</v>
      </c>
      <c r="F642" s="49">
        <f>60+426.1</f>
        <v>486.1</v>
      </c>
      <c r="G642" s="39"/>
      <c r="H642" s="39"/>
    </row>
    <row r="643" spans="1:8" ht="46.5" customHeight="1">
      <c r="A643" s="7" t="s">
        <v>448</v>
      </c>
      <c r="B643" s="8" t="s">
        <v>189</v>
      </c>
      <c r="C643" s="8" t="s">
        <v>123</v>
      </c>
      <c r="D643" s="8" t="s">
        <v>504</v>
      </c>
      <c r="E643" s="8" t="s">
        <v>98</v>
      </c>
      <c r="F643" s="49">
        <f>F644</f>
        <v>0</v>
      </c>
      <c r="G643" s="39">
        <f>G644</f>
        <v>0</v>
      </c>
      <c r="H643" s="39">
        <f>H644</f>
        <v>0</v>
      </c>
    </row>
    <row r="644" spans="1:8" ht="34.5" customHeight="1">
      <c r="A644" s="7" t="s">
        <v>170</v>
      </c>
      <c r="B644" s="8" t="s">
        <v>189</v>
      </c>
      <c r="C644" s="8" t="s">
        <v>123</v>
      </c>
      <c r="D644" s="8" t="s">
        <v>504</v>
      </c>
      <c r="E644" s="8" t="s">
        <v>171</v>
      </c>
      <c r="F644" s="49">
        <f>4748.5-2968.4+60-60-1780.1</f>
        <v>0</v>
      </c>
      <c r="G644" s="39">
        <v>0</v>
      </c>
      <c r="H644" s="39">
        <v>0</v>
      </c>
    </row>
    <row r="645" spans="1:8" ht="36" customHeight="1">
      <c r="A645" s="7" t="s">
        <v>199</v>
      </c>
      <c r="B645" s="8" t="s">
        <v>189</v>
      </c>
      <c r="C645" s="8" t="s">
        <v>123</v>
      </c>
      <c r="D645" s="8" t="s">
        <v>670</v>
      </c>
      <c r="E645" s="8" t="s">
        <v>98</v>
      </c>
      <c r="F645" s="49">
        <f>F646+F650+F648</f>
        <v>45442.7</v>
      </c>
      <c r="G645" s="39">
        <f>G646+G650</f>
        <v>36350</v>
      </c>
      <c r="H645" s="39">
        <f>H646+H650</f>
        <v>36350</v>
      </c>
    </row>
    <row r="646" spans="1:8" ht="87.75" customHeight="1">
      <c r="A646" s="7" t="s">
        <v>505</v>
      </c>
      <c r="B646" s="8" t="s">
        <v>189</v>
      </c>
      <c r="C646" s="8" t="s">
        <v>123</v>
      </c>
      <c r="D646" s="8" t="s">
        <v>100</v>
      </c>
      <c r="E646" s="8" t="s">
        <v>98</v>
      </c>
      <c r="F646" s="49">
        <f>F647</f>
        <v>6998</v>
      </c>
      <c r="G646" s="39">
        <v>0</v>
      </c>
      <c r="H646" s="39">
        <v>0</v>
      </c>
    </row>
    <row r="647" spans="1:8" ht="87.75" customHeight="1">
      <c r="A647" s="7" t="s">
        <v>208</v>
      </c>
      <c r="B647" s="8" t="s">
        <v>189</v>
      </c>
      <c r="C647" s="8" t="s">
        <v>123</v>
      </c>
      <c r="D647" s="8" t="s">
        <v>100</v>
      </c>
      <c r="E647" s="8" t="s">
        <v>209</v>
      </c>
      <c r="F647" s="49">
        <f>6998</f>
        <v>6998</v>
      </c>
      <c r="G647" s="39"/>
      <c r="H647" s="39"/>
    </row>
    <row r="648" spans="1:8" ht="40.5" customHeight="1">
      <c r="A648" s="7" t="s">
        <v>333</v>
      </c>
      <c r="B648" s="8" t="s">
        <v>189</v>
      </c>
      <c r="C648" s="8" t="s">
        <v>123</v>
      </c>
      <c r="D648" s="8" t="s">
        <v>231</v>
      </c>
      <c r="E648" s="8" t="s">
        <v>98</v>
      </c>
      <c r="F648" s="49">
        <f>F649</f>
        <v>4300</v>
      </c>
      <c r="G648" s="39"/>
      <c r="H648" s="39"/>
    </row>
    <row r="649" spans="1:8" ht="29.25" customHeight="1">
      <c r="A649" s="7" t="s">
        <v>170</v>
      </c>
      <c r="B649" s="8" t="s">
        <v>189</v>
      </c>
      <c r="C649" s="8" t="s">
        <v>123</v>
      </c>
      <c r="D649" s="8" t="s">
        <v>231</v>
      </c>
      <c r="E649" s="8" t="s">
        <v>171</v>
      </c>
      <c r="F649" s="49">
        <f>3.5+4294.5+2</f>
        <v>4300</v>
      </c>
      <c r="G649" s="39"/>
      <c r="H649" s="39"/>
    </row>
    <row r="650" spans="1:8" ht="162" customHeight="1">
      <c r="A650" s="7" t="s">
        <v>473</v>
      </c>
      <c r="B650" s="8" t="s">
        <v>189</v>
      </c>
      <c r="C650" s="8" t="s">
        <v>123</v>
      </c>
      <c r="D650" s="8" t="s">
        <v>474</v>
      </c>
      <c r="E650" s="8" t="s">
        <v>98</v>
      </c>
      <c r="F650" s="49">
        <f>F651</f>
        <v>34144.7</v>
      </c>
      <c r="G650" s="39">
        <f>G651</f>
        <v>36350</v>
      </c>
      <c r="H650" s="39">
        <f>H651</f>
        <v>36350</v>
      </c>
    </row>
    <row r="651" spans="1:8" ht="81" customHeight="1">
      <c r="A651" s="7" t="s">
        <v>208</v>
      </c>
      <c r="B651" s="8" t="s">
        <v>189</v>
      </c>
      <c r="C651" s="8" t="s">
        <v>123</v>
      </c>
      <c r="D651" s="8" t="s">
        <v>474</v>
      </c>
      <c r="E651" s="8" t="s">
        <v>209</v>
      </c>
      <c r="F651" s="49">
        <f>36350-2205.3</f>
        <v>34144.7</v>
      </c>
      <c r="G651" s="39">
        <v>36350</v>
      </c>
      <c r="H651" s="39">
        <v>36350</v>
      </c>
    </row>
    <row r="652" spans="1:8" ht="32.25" customHeight="1">
      <c r="A652" s="7" t="s">
        <v>506</v>
      </c>
      <c r="B652" s="8" t="s">
        <v>189</v>
      </c>
      <c r="C652" s="8" t="s">
        <v>189</v>
      </c>
      <c r="D652" s="8" t="s">
        <v>99</v>
      </c>
      <c r="E652" s="8" t="s">
        <v>98</v>
      </c>
      <c r="F652" s="49">
        <f>F661+F664+F653+F656+F671</f>
        <v>73796.6</v>
      </c>
      <c r="G652" s="39">
        <f>G661+G664</f>
        <v>72031.7</v>
      </c>
      <c r="H652" s="39">
        <f>H661+H664</f>
        <v>72031.7</v>
      </c>
    </row>
    <row r="653" spans="1:8" ht="27.75" customHeight="1">
      <c r="A653" s="7" t="s">
        <v>175</v>
      </c>
      <c r="B653" s="8" t="s">
        <v>189</v>
      </c>
      <c r="C653" s="8" t="s">
        <v>189</v>
      </c>
      <c r="D653" s="8" t="s">
        <v>214</v>
      </c>
      <c r="E653" s="8"/>
      <c r="F653" s="49">
        <f>F654</f>
        <v>198</v>
      </c>
      <c r="G653" s="39"/>
      <c r="H653" s="39"/>
    </row>
    <row r="654" spans="1:8" ht="54.75" customHeight="1">
      <c r="A654" s="19" t="s">
        <v>213</v>
      </c>
      <c r="B654" s="8" t="s">
        <v>189</v>
      </c>
      <c r="C654" s="8" t="s">
        <v>189</v>
      </c>
      <c r="D654" s="8" t="s">
        <v>215</v>
      </c>
      <c r="E654" s="8"/>
      <c r="F654" s="49">
        <f>F655</f>
        <v>198</v>
      </c>
      <c r="G654" s="39"/>
      <c r="H654" s="39"/>
    </row>
    <row r="655" spans="1:8" ht="24" customHeight="1">
      <c r="A655" s="7" t="s">
        <v>107</v>
      </c>
      <c r="B655" s="8" t="s">
        <v>189</v>
      </c>
      <c r="C655" s="8" t="s">
        <v>189</v>
      </c>
      <c r="D655" s="8" t="s">
        <v>215</v>
      </c>
      <c r="E655" s="8" t="s">
        <v>178</v>
      </c>
      <c r="F655" s="49">
        <f>198</f>
        <v>198</v>
      </c>
      <c r="G655" s="39"/>
      <c r="H655" s="39"/>
    </row>
    <row r="656" spans="1:8" ht="32.25" customHeight="1">
      <c r="A656" s="7" t="s">
        <v>175</v>
      </c>
      <c r="B656" s="8" t="s">
        <v>189</v>
      </c>
      <c r="C656" s="8" t="s">
        <v>189</v>
      </c>
      <c r="D656" s="8" t="s">
        <v>166</v>
      </c>
      <c r="E656" s="8"/>
      <c r="F656" s="49">
        <f>F657+F660+F659+F658</f>
        <v>4257.3</v>
      </c>
      <c r="G656" s="39"/>
      <c r="H656" s="39"/>
    </row>
    <row r="657" spans="1:8" ht="22.5" customHeight="1">
      <c r="A657" s="7" t="s">
        <v>107</v>
      </c>
      <c r="B657" s="8" t="s">
        <v>189</v>
      </c>
      <c r="C657" s="8" t="s">
        <v>189</v>
      </c>
      <c r="D657" s="8" t="s">
        <v>166</v>
      </c>
      <c r="E657" s="8" t="s">
        <v>178</v>
      </c>
      <c r="F657" s="49">
        <f>137.2+1586.5</f>
        <v>1723.7</v>
      </c>
      <c r="G657" s="39"/>
      <c r="H657" s="39"/>
    </row>
    <row r="658" spans="1:8" ht="39" customHeight="1">
      <c r="A658" s="7" t="s">
        <v>119</v>
      </c>
      <c r="B658" s="8" t="s">
        <v>189</v>
      </c>
      <c r="C658" s="8" t="s">
        <v>189</v>
      </c>
      <c r="D658" s="8" t="s">
        <v>166</v>
      </c>
      <c r="E658" s="8" t="s">
        <v>120</v>
      </c>
      <c r="F658" s="49">
        <f>1</f>
        <v>1</v>
      </c>
      <c r="G658" s="39"/>
      <c r="H658" s="39"/>
    </row>
    <row r="659" spans="1:8" ht="45.75" customHeight="1">
      <c r="A659" s="7" t="s">
        <v>115</v>
      </c>
      <c r="B659" s="8" t="s">
        <v>189</v>
      </c>
      <c r="C659" s="8" t="s">
        <v>189</v>
      </c>
      <c r="D659" s="8" t="s">
        <v>166</v>
      </c>
      <c r="E659" s="8" t="s">
        <v>116</v>
      </c>
      <c r="F659" s="49">
        <f>3+201</f>
        <v>204</v>
      </c>
      <c r="G659" s="39"/>
      <c r="H659" s="39"/>
    </row>
    <row r="660" spans="1:8" ht="83.25" customHeight="1">
      <c r="A660" s="7" t="s">
        <v>208</v>
      </c>
      <c r="B660" s="8" t="s">
        <v>189</v>
      </c>
      <c r="C660" s="8" t="s">
        <v>189</v>
      </c>
      <c r="D660" s="8" t="s">
        <v>166</v>
      </c>
      <c r="E660" s="8" t="s">
        <v>209</v>
      </c>
      <c r="F660" s="49">
        <f>2522.7-422-44+271.9</f>
        <v>2328.6</v>
      </c>
      <c r="G660" s="39"/>
      <c r="H660" s="39"/>
    </row>
    <row r="661" spans="1:8" ht="39" customHeight="1">
      <c r="A661" s="7" t="s">
        <v>507</v>
      </c>
      <c r="B661" s="8" t="s">
        <v>189</v>
      </c>
      <c r="C661" s="8" t="s">
        <v>189</v>
      </c>
      <c r="D661" s="8" t="s">
        <v>734</v>
      </c>
      <c r="E661" s="8" t="s">
        <v>98</v>
      </c>
      <c r="F661" s="49">
        <f aca="true" t="shared" si="27" ref="F661:H662">F662</f>
        <v>4990.3</v>
      </c>
      <c r="G661" s="39">
        <f t="shared" si="27"/>
        <v>6628</v>
      </c>
      <c r="H661" s="39">
        <f t="shared" si="27"/>
        <v>6628</v>
      </c>
    </row>
    <row r="662" spans="1:8" ht="25.5">
      <c r="A662" s="7" t="s">
        <v>508</v>
      </c>
      <c r="B662" s="8" t="s">
        <v>189</v>
      </c>
      <c r="C662" s="8" t="s">
        <v>189</v>
      </c>
      <c r="D662" s="8" t="s">
        <v>509</v>
      </c>
      <c r="E662" s="8" t="s">
        <v>98</v>
      </c>
      <c r="F662" s="49">
        <f t="shared" si="27"/>
        <v>4990.3</v>
      </c>
      <c r="G662" s="39">
        <f t="shared" si="27"/>
        <v>6628</v>
      </c>
      <c r="H662" s="39">
        <f t="shared" si="27"/>
        <v>6628</v>
      </c>
    </row>
    <row r="663" spans="1:8" ht="150" customHeight="1">
      <c r="A663" s="7" t="s">
        <v>512</v>
      </c>
      <c r="B663" s="8" t="s">
        <v>189</v>
      </c>
      <c r="C663" s="8" t="s">
        <v>189</v>
      </c>
      <c r="D663" s="8" t="s">
        <v>509</v>
      </c>
      <c r="E663" s="8" t="s">
        <v>513</v>
      </c>
      <c r="F663" s="49">
        <f>4419.3+571</f>
        <v>4990.3</v>
      </c>
      <c r="G663" s="39">
        <v>6628</v>
      </c>
      <c r="H663" s="39">
        <v>6628</v>
      </c>
    </row>
    <row r="664" spans="1:8" ht="34.5" customHeight="1">
      <c r="A664" s="7" t="s">
        <v>199</v>
      </c>
      <c r="B664" s="8" t="s">
        <v>189</v>
      </c>
      <c r="C664" s="8" t="s">
        <v>189</v>
      </c>
      <c r="D664" s="8" t="s">
        <v>670</v>
      </c>
      <c r="E664" s="8" t="s">
        <v>98</v>
      </c>
      <c r="F664" s="49">
        <f>F665</f>
        <v>64339</v>
      </c>
      <c r="G664" s="39">
        <f>G665</f>
        <v>65403.7</v>
      </c>
      <c r="H664" s="39">
        <f>H665</f>
        <v>65403.7</v>
      </c>
    </row>
    <row r="665" spans="1:8" ht="153">
      <c r="A665" s="7" t="s">
        <v>473</v>
      </c>
      <c r="B665" s="8" t="s">
        <v>189</v>
      </c>
      <c r="C665" s="8" t="s">
        <v>189</v>
      </c>
      <c r="D665" s="8" t="s">
        <v>474</v>
      </c>
      <c r="E665" s="8" t="s">
        <v>98</v>
      </c>
      <c r="F665" s="49">
        <f>F666+F667+F668+F669+F670</f>
        <v>64339</v>
      </c>
      <c r="G665" s="39">
        <f>G666+G667+G668+G669+G670</f>
        <v>65403.7</v>
      </c>
      <c r="H665" s="39">
        <f>H666+H667+H668+H669+H670</f>
        <v>65403.7</v>
      </c>
    </row>
    <row r="666" spans="1:8" ht="21.75" customHeight="1">
      <c r="A666" s="7" t="s">
        <v>107</v>
      </c>
      <c r="B666" s="8" t="s">
        <v>189</v>
      </c>
      <c r="C666" s="8" t="s">
        <v>189</v>
      </c>
      <c r="D666" s="8" t="s">
        <v>474</v>
      </c>
      <c r="E666" s="8" t="s">
        <v>178</v>
      </c>
      <c r="F666" s="49">
        <f>22634.2-490</f>
        <v>22144.2</v>
      </c>
      <c r="G666" s="39">
        <v>22634.2</v>
      </c>
      <c r="H666" s="39">
        <v>22634.2</v>
      </c>
    </row>
    <row r="667" spans="1:8" ht="27" customHeight="1">
      <c r="A667" s="7" t="s">
        <v>126</v>
      </c>
      <c r="B667" s="8" t="s">
        <v>189</v>
      </c>
      <c r="C667" s="8" t="s">
        <v>189</v>
      </c>
      <c r="D667" s="8" t="s">
        <v>474</v>
      </c>
      <c r="E667" s="8" t="s">
        <v>185</v>
      </c>
      <c r="F667" s="49">
        <v>4</v>
      </c>
      <c r="G667" s="39">
        <v>4</v>
      </c>
      <c r="H667" s="39">
        <v>4</v>
      </c>
    </row>
    <row r="668" spans="1:8" ht="39" customHeight="1">
      <c r="A668" s="7" t="s">
        <v>119</v>
      </c>
      <c r="B668" s="8" t="s">
        <v>189</v>
      </c>
      <c r="C668" s="8" t="s">
        <v>189</v>
      </c>
      <c r="D668" s="8" t="s">
        <v>474</v>
      </c>
      <c r="E668" s="8" t="s">
        <v>120</v>
      </c>
      <c r="F668" s="49">
        <f>265+10</f>
        <v>275</v>
      </c>
      <c r="G668" s="39">
        <v>265</v>
      </c>
      <c r="H668" s="39">
        <v>265</v>
      </c>
    </row>
    <row r="669" spans="1:8" ht="42.75" customHeight="1">
      <c r="A669" s="7" t="s">
        <v>115</v>
      </c>
      <c r="B669" s="8" t="s">
        <v>189</v>
      </c>
      <c r="C669" s="8" t="s">
        <v>189</v>
      </c>
      <c r="D669" s="8" t="s">
        <v>474</v>
      </c>
      <c r="E669" s="8" t="s">
        <v>116</v>
      </c>
      <c r="F669" s="49">
        <f>11441+585.3</f>
        <v>12026.3</v>
      </c>
      <c r="G669" s="39">
        <v>11441</v>
      </c>
      <c r="H669" s="39">
        <v>11441</v>
      </c>
    </row>
    <row r="670" spans="1:8" ht="82.5" customHeight="1">
      <c r="A670" s="7" t="s">
        <v>208</v>
      </c>
      <c r="B670" s="8" t="s">
        <v>189</v>
      </c>
      <c r="C670" s="8" t="s">
        <v>189</v>
      </c>
      <c r="D670" s="8" t="s">
        <v>474</v>
      </c>
      <c r="E670" s="8" t="s">
        <v>209</v>
      </c>
      <c r="F670" s="49">
        <f>31059.5-1170</f>
        <v>29889.5</v>
      </c>
      <c r="G670" s="39">
        <v>31059.5</v>
      </c>
      <c r="H670" s="39">
        <v>31059.5</v>
      </c>
    </row>
    <row r="671" spans="1:8" ht="21.75" customHeight="1">
      <c r="A671" s="18" t="s">
        <v>673</v>
      </c>
      <c r="B671" s="13" t="s">
        <v>189</v>
      </c>
      <c r="C671" s="13" t="s">
        <v>189</v>
      </c>
      <c r="D671" s="13" t="s">
        <v>676</v>
      </c>
      <c r="E671" s="13" t="s">
        <v>98</v>
      </c>
      <c r="F671" s="49">
        <f>F672</f>
        <v>12</v>
      </c>
      <c r="G671" s="39"/>
      <c r="H671" s="39"/>
    </row>
    <row r="672" spans="1:8" ht="26.25" customHeight="1">
      <c r="A672" s="18" t="s">
        <v>475</v>
      </c>
      <c r="B672" s="13" t="s">
        <v>189</v>
      </c>
      <c r="C672" s="13" t="s">
        <v>189</v>
      </c>
      <c r="D672" s="13" t="s">
        <v>716</v>
      </c>
      <c r="E672" s="13" t="s">
        <v>98</v>
      </c>
      <c r="F672" s="49">
        <f>F673+F674</f>
        <v>12</v>
      </c>
      <c r="G672" s="39"/>
      <c r="H672" s="39"/>
    </row>
    <row r="673" spans="1:8" ht="39" customHeight="1">
      <c r="A673" s="7" t="s">
        <v>157</v>
      </c>
      <c r="B673" s="13" t="s">
        <v>189</v>
      </c>
      <c r="C673" s="13" t="s">
        <v>189</v>
      </c>
      <c r="D673" s="13" t="s">
        <v>716</v>
      </c>
      <c r="E673" s="8" t="s">
        <v>158</v>
      </c>
      <c r="F673" s="49">
        <f>168-168</f>
        <v>0</v>
      </c>
      <c r="G673" s="39"/>
      <c r="H673" s="39"/>
    </row>
    <row r="674" spans="1:8" ht="15.75" customHeight="1">
      <c r="A674" s="7" t="s">
        <v>403</v>
      </c>
      <c r="B674" s="8" t="s">
        <v>189</v>
      </c>
      <c r="C674" s="8" t="s">
        <v>189</v>
      </c>
      <c r="D674" s="13" t="s">
        <v>716</v>
      </c>
      <c r="E674" s="8" t="s">
        <v>121</v>
      </c>
      <c r="F674" s="49">
        <f>108-96</f>
        <v>12</v>
      </c>
      <c r="G674" s="39"/>
      <c r="H674" s="39"/>
    </row>
    <row r="675" spans="1:8" ht="18.75" customHeight="1">
      <c r="A675" s="17" t="s">
        <v>514</v>
      </c>
      <c r="B675" s="16" t="s">
        <v>515</v>
      </c>
      <c r="C675" s="16" t="s">
        <v>98</v>
      </c>
      <c r="D675" s="16" t="s">
        <v>99</v>
      </c>
      <c r="E675" s="16" t="s">
        <v>98</v>
      </c>
      <c r="F675" s="75">
        <f>F676+F680+F700+F832+F855</f>
        <v>730413.55</v>
      </c>
      <c r="G675" s="43">
        <f>G676+G680+G700+G832+G855</f>
        <v>716042.7000000001</v>
      </c>
      <c r="H675" s="43">
        <f>H676+H680+H700+H832+H855</f>
        <v>720945.5</v>
      </c>
    </row>
    <row r="676" spans="1:8" ht="21" customHeight="1">
      <c r="A676" s="7" t="s">
        <v>516</v>
      </c>
      <c r="B676" s="8" t="s">
        <v>515</v>
      </c>
      <c r="C676" s="8" t="s">
        <v>102</v>
      </c>
      <c r="D676" s="8"/>
      <c r="E676" s="8" t="s">
        <v>98</v>
      </c>
      <c r="F676" s="49">
        <f aca="true" t="shared" si="28" ref="F676:H678">F677</f>
        <v>5175</v>
      </c>
      <c r="G676" s="39">
        <f t="shared" si="28"/>
        <v>4907</v>
      </c>
      <c r="H676" s="39">
        <f t="shared" si="28"/>
        <v>4907</v>
      </c>
    </row>
    <row r="677" spans="1:8" ht="21" customHeight="1">
      <c r="A677" s="7" t="s">
        <v>517</v>
      </c>
      <c r="B677" s="8" t="s">
        <v>515</v>
      </c>
      <c r="C677" s="8" t="s">
        <v>102</v>
      </c>
      <c r="D677" s="8" t="s">
        <v>735</v>
      </c>
      <c r="E677" s="8" t="s">
        <v>98</v>
      </c>
      <c r="F677" s="49">
        <f t="shared" si="28"/>
        <v>5175</v>
      </c>
      <c r="G677" s="39">
        <f t="shared" si="28"/>
        <v>4907</v>
      </c>
      <c r="H677" s="39">
        <f t="shared" si="28"/>
        <v>4907</v>
      </c>
    </row>
    <row r="678" spans="1:8" ht="69" customHeight="1">
      <c r="A678" s="7" t="s">
        <v>518</v>
      </c>
      <c r="B678" s="8" t="s">
        <v>515</v>
      </c>
      <c r="C678" s="8" t="s">
        <v>102</v>
      </c>
      <c r="D678" s="8" t="s">
        <v>519</v>
      </c>
      <c r="E678" s="8" t="s">
        <v>98</v>
      </c>
      <c r="F678" s="49">
        <f t="shared" si="28"/>
        <v>5175</v>
      </c>
      <c r="G678" s="39">
        <f t="shared" si="28"/>
        <v>4907</v>
      </c>
      <c r="H678" s="39">
        <f t="shared" si="28"/>
        <v>4907</v>
      </c>
    </row>
    <row r="679" spans="1:8" ht="33" customHeight="1">
      <c r="A679" s="7" t="s">
        <v>520</v>
      </c>
      <c r="B679" s="8" t="s">
        <v>515</v>
      </c>
      <c r="C679" s="8" t="s">
        <v>102</v>
      </c>
      <c r="D679" s="8" t="s">
        <v>519</v>
      </c>
      <c r="E679" s="8" t="s">
        <v>521</v>
      </c>
      <c r="F679" s="49">
        <f>4907+268</f>
        <v>5175</v>
      </c>
      <c r="G679" s="39">
        <v>4907</v>
      </c>
      <c r="H679" s="39">
        <v>4907</v>
      </c>
    </row>
    <row r="680" spans="1:8" ht="20.25" customHeight="1">
      <c r="A680" s="7" t="s">
        <v>522</v>
      </c>
      <c r="B680" s="8" t="s">
        <v>515</v>
      </c>
      <c r="C680" s="8" t="s">
        <v>104</v>
      </c>
      <c r="D680" s="8"/>
      <c r="E680" s="8" t="s">
        <v>98</v>
      </c>
      <c r="F680" s="49">
        <f aca="true" t="shared" si="29" ref="F680:H681">F681</f>
        <v>103976.8</v>
      </c>
      <c r="G680" s="39">
        <f t="shared" si="29"/>
        <v>94396.4</v>
      </c>
      <c r="H680" s="39">
        <f t="shared" si="29"/>
        <v>94396.2</v>
      </c>
    </row>
    <row r="681" spans="1:8" ht="32.25" customHeight="1">
      <c r="A681" s="7" t="s">
        <v>523</v>
      </c>
      <c r="B681" s="8" t="s">
        <v>515</v>
      </c>
      <c r="C681" s="8" t="s">
        <v>104</v>
      </c>
      <c r="D681" s="8" t="s">
        <v>736</v>
      </c>
      <c r="E681" s="8" t="s">
        <v>98</v>
      </c>
      <c r="F681" s="49">
        <f t="shared" si="29"/>
        <v>103976.8</v>
      </c>
      <c r="G681" s="39">
        <f t="shared" si="29"/>
        <v>94396.4</v>
      </c>
      <c r="H681" s="39">
        <f t="shared" si="29"/>
        <v>94396.2</v>
      </c>
    </row>
    <row r="682" spans="1:8" ht="35.25" customHeight="1">
      <c r="A682" s="7" t="s">
        <v>175</v>
      </c>
      <c r="B682" s="8" t="s">
        <v>515</v>
      </c>
      <c r="C682" s="8" t="s">
        <v>104</v>
      </c>
      <c r="D682" s="8" t="s">
        <v>737</v>
      </c>
      <c r="E682" s="8" t="s">
        <v>98</v>
      </c>
      <c r="F682" s="49">
        <f>F683+F689+F694</f>
        <v>103976.8</v>
      </c>
      <c r="G682" s="39">
        <f>G683+G689+G694</f>
        <v>94396.4</v>
      </c>
      <c r="H682" s="39">
        <f>H683+H689+H694</f>
        <v>94396.2</v>
      </c>
    </row>
    <row r="683" spans="1:8" ht="70.5" customHeight="1">
      <c r="A683" s="7" t="s">
        <v>526</v>
      </c>
      <c r="B683" s="8" t="s">
        <v>515</v>
      </c>
      <c r="C683" s="8" t="s">
        <v>104</v>
      </c>
      <c r="D683" s="8" t="s">
        <v>527</v>
      </c>
      <c r="E683" s="8" t="s">
        <v>98</v>
      </c>
      <c r="F683" s="49">
        <f>F684+F685+F686+F687+F688</f>
        <v>64339</v>
      </c>
      <c r="G683" s="39">
        <f>G684+G685+G686+G687+G688</f>
        <v>61853</v>
      </c>
      <c r="H683" s="39">
        <f>H684+H685+H686+H687+H688</f>
        <v>61853</v>
      </c>
    </row>
    <row r="684" spans="1:8" ht="28.5" customHeight="1">
      <c r="A684" s="7" t="s">
        <v>107</v>
      </c>
      <c r="B684" s="8" t="s">
        <v>515</v>
      </c>
      <c r="C684" s="8" t="s">
        <v>104</v>
      </c>
      <c r="D684" s="8" t="s">
        <v>527</v>
      </c>
      <c r="E684" s="8" t="s">
        <v>178</v>
      </c>
      <c r="F684" s="49">
        <v>7580</v>
      </c>
      <c r="G684" s="39">
        <v>7916</v>
      </c>
      <c r="H684" s="39">
        <v>7916</v>
      </c>
    </row>
    <row r="685" spans="1:8" ht="38.25" customHeight="1">
      <c r="A685" s="7" t="s">
        <v>126</v>
      </c>
      <c r="B685" s="8" t="s">
        <v>515</v>
      </c>
      <c r="C685" s="8" t="s">
        <v>104</v>
      </c>
      <c r="D685" s="8" t="s">
        <v>527</v>
      </c>
      <c r="E685" s="8" t="s">
        <v>185</v>
      </c>
      <c r="F685" s="49">
        <v>0</v>
      </c>
      <c r="G685" s="39">
        <v>0</v>
      </c>
      <c r="H685" s="39">
        <v>0</v>
      </c>
    </row>
    <row r="686" spans="1:8" ht="48.75" customHeight="1">
      <c r="A686" s="7" t="s">
        <v>119</v>
      </c>
      <c r="B686" s="8" t="s">
        <v>515</v>
      </c>
      <c r="C686" s="8" t="s">
        <v>104</v>
      </c>
      <c r="D686" s="8" t="s">
        <v>527</v>
      </c>
      <c r="E686" s="8" t="s">
        <v>120</v>
      </c>
      <c r="F686" s="49">
        <f>19+13.3+8.1-2.3</f>
        <v>38.1</v>
      </c>
      <c r="G686" s="39">
        <v>0</v>
      </c>
      <c r="H686" s="39">
        <v>0</v>
      </c>
    </row>
    <row r="687" spans="1:8" ht="38.25">
      <c r="A687" s="7" t="s">
        <v>115</v>
      </c>
      <c r="B687" s="8" t="s">
        <v>515</v>
      </c>
      <c r="C687" s="8" t="s">
        <v>104</v>
      </c>
      <c r="D687" s="8" t="s">
        <v>527</v>
      </c>
      <c r="E687" s="8" t="s">
        <v>116</v>
      </c>
      <c r="F687" s="49">
        <f>1381-13.3-8.1-16.7</f>
        <v>1342.9</v>
      </c>
      <c r="G687" s="39">
        <v>0</v>
      </c>
      <c r="H687" s="39">
        <v>0</v>
      </c>
    </row>
    <row r="688" spans="1:8" ht="84.75" customHeight="1">
      <c r="A688" s="7" t="s">
        <v>208</v>
      </c>
      <c r="B688" s="8" t="s">
        <v>515</v>
      </c>
      <c r="C688" s="8" t="s">
        <v>104</v>
      </c>
      <c r="D688" s="8" t="s">
        <v>527</v>
      </c>
      <c r="E688" s="8" t="s">
        <v>209</v>
      </c>
      <c r="F688" s="49">
        <f>55789-300+70-181</f>
        <v>55378</v>
      </c>
      <c r="G688" s="39">
        <v>53937</v>
      </c>
      <c r="H688" s="39">
        <v>53937</v>
      </c>
    </row>
    <row r="689" spans="1:8" ht="99.75" customHeight="1">
      <c r="A689" s="7" t="s">
        <v>530</v>
      </c>
      <c r="B689" s="8" t="s">
        <v>515</v>
      </c>
      <c r="C689" s="8" t="s">
        <v>104</v>
      </c>
      <c r="D689" s="8" t="s">
        <v>531</v>
      </c>
      <c r="E689" s="8" t="s">
        <v>98</v>
      </c>
      <c r="F689" s="49">
        <f>F690+F691+F692+F693</f>
        <v>37829</v>
      </c>
      <c r="G689" s="39">
        <f>G690+G691+G692+G693</f>
        <v>31181</v>
      </c>
      <c r="H689" s="39">
        <f>H690+H691+H692+H693</f>
        <v>31181</v>
      </c>
    </row>
    <row r="690" spans="1:8" ht="21" customHeight="1">
      <c r="A690" s="7" t="s">
        <v>107</v>
      </c>
      <c r="B690" s="8" t="s">
        <v>515</v>
      </c>
      <c r="C690" s="8" t="s">
        <v>104</v>
      </c>
      <c r="D690" s="8" t="s">
        <v>531</v>
      </c>
      <c r="E690" s="8" t="s">
        <v>178</v>
      </c>
      <c r="F690" s="49">
        <v>29857</v>
      </c>
      <c r="G690" s="39">
        <v>31181</v>
      </c>
      <c r="H690" s="39">
        <v>31181</v>
      </c>
    </row>
    <row r="691" spans="1:8" ht="33.75" customHeight="1">
      <c r="A691" s="7" t="s">
        <v>126</v>
      </c>
      <c r="B691" s="8" t="s">
        <v>515</v>
      </c>
      <c r="C691" s="8" t="s">
        <v>104</v>
      </c>
      <c r="D691" s="8" t="s">
        <v>531</v>
      </c>
      <c r="E691" s="8" t="s">
        <v>185</v>
      </c>
      <c r="F691" s="49">
        <f>5-1.3</f>
        <v>3.7</v>
      </c>
      <c r="G691" s="39">
        <v>0</v>
      </c>
      <c r="H691" s="39">
        <v>0</v>
      </c>
    </row>
    <row r="692" spans="1:8" ht="38.25">
      <c r="A692" s="7" t="s">
        <v>119</v>
      </c>
      <c r="B692" s="8" t="s">
        <v>515</v>
      </c>
      <c r="C692" s="8" t="s">
        <v>104</v>
      </c>
      <c r="D692" s="8" t="s">
        <v>531</v>
      </c>
      <c r="E692" s="8" t="s">
        <v>120</v>
      </c>
      <c r="F692" s="49">
        <f>366.6-9.2+28-21.4</f>
        <v>364.00000000000006</v>
      </c>
      <c r="G692" s="39">
        <v>0</v>
      </c>
      <c r="H692" s="39">
        <v>0</v>
      </c>
    </row>
    <row r="693" spans="1:8" ht="38.25">
      <c r="A693" s="7" t="s">
        <v>115</v>
      </c>
      <c r="B693" s="8" t="s">
        <v>515</v>
      </c>
      <c r="C693" s="8" t="s">
        <v>104</v>
      </c>
      <c r="D693" s="8" t="s">
        <v>531</v>
      </c>
      <c r="E693" s="8" t="s">
        <v>116</v>
      </c>
      <c r="F693" s="49">
        <f>7270.4+339.2-28+22.7</f>
        <v>7604.299999999999</v>
      </c>
      <c r="G693" s="39">
        <v>0</v>
      </c>
      <c r="H693" s="39">
        <v>0</v>
      </c>
    </row>
    <row r="694" spans="1:8" ht="60.75" customHeight="1">
      <c r="A694" s="7" t="s">
        <v>532</v>
      </c>
      <c r="B694" s="8" t="s">
        <v>515</v>
      </c>
      <c r="C694" s="8" t="s">
        <v>104</v>
      </c>
      <c r="D694" s="8" t="s">
        <v>533</v>
      </c>
      <c r="E694" s="8" t="s">
        <v>98</v>
      </c>
      <c r="F694" s="49">
        <f>F695+F697+F698+F699+F696</f>
        <v>1808.7999999999997</v>
      </c>
      <c r="G694" s="39">
        <f>G695+G697+G698+G699</f>
        <v>1362.3999999999999</v>
      </c>
      <c r="H694" s="39">
        <f>H695+H697+H698+H699</f>
        <v>1362.1999999999998</v>
      </c>
    </row>
    <row r="695" spans="1:8" ht="24.75" customHeight="1">
      <c r="A695" s="7" t="s">
        <v>107</v>
      </c>
      <c r="B695" s="8" t="s">
        <v>515</v>
      </c>
      <c r="C695" s="8" t="s">
        <v>104</v>
      </c>
      <c r="D695" s="8" t="s">
        <v>533</v>
      </c>
      <c r="E695" s="8" t="s">
        <v>178</v>
      </c>
      <c r="F695" s="49">
        <f>67.1+110.8</f>
        <v>177.89999999999998</v>
      </c>
      <c r="G695" s="39">
        <v>67.1</v>
      </c>
      <c r="H695" s="39">
        <v>67.1</v>
      </c>
    </row>
    <row r="696" spans="1:8" ht="40.5" customHeight="1">
      <c r="A696" s="7" t="s">
        <v>119</v>
      </c>
      <c r="B696" s="8" t="s">
        <v>515</v>
      </c>
      <c r="C696" s="8" t="s">
        <v>104</v>
      </c>
      <c r="D696" s="8" t="s">
        <v>533</v>
      </c>
      <c r="E696" s="8" t="s">
        <v>120</v>
      </c>
      <c r="F696" s="49">
        <f>12+9.7</f>
        <v>21.7</v>
      </c>
      <c r="G696" s="39"/>
      <c r="H696" s="39"/>
    </row>
    <row r="697" spans="1:8" ht="38.25">
      <c r="A697" s="7" t="s">
        <v>115</v>
      </c>
      <c r="B697" s="8" t="s">
        <v>515</v>
      </c>
      <c r="C697" s="8" t="s">
        <v>104</v>
      </c>
      <c r="D697" s="8" t="s">
        <v>533</v>
      </c>
      <c r="E697" s="8" t="s">
        <v>116</v>
      </c>
      <c r="F697" s="49">
        <f>1158.9+51-9.7+330+268-330+16.6</f>
        <v>1484.8</v>
      </c>
      <c r="G697" s="39">
        <v>1170.9</v>
      </c>
      <c r="H697" s="39">
        <v>1170.7</v>
      </c>
    </row>
    <row r="698" spans="1:8" ht="85.5" customHeight="1">
      <c r="A698" s="7" t="s">
        <v>208</v>
      </c>
      <c r="B698" s="8" t="s">
        <v>515</v>
      </c>
      <c r="C698" s="8" t="s">
        <v>104</v>
      </c>
      <c r="D698" s="8" t="s">
        <v>533</v>
      </c>
      <c r="E698" s="8" t="s">
        <v>209</v>
      </c>
      <c r="F698" s="49">
        <v>72.1</v>
      </c>
      <c r="G698" s="39">
        <v>72.1</v>
      </c>
      <c r="H698" s="39">
        <v>72.1</v>
      </c>
    </row>
    <row r="699" spans="1:8" ht="33" customHeight="1">
      <c r="A699" s="7" t="s">
        <v>130</v>
      </c>
      <c r="B699" s="8" t="s">
        <v>515</v>
      </c>
      <c r="C699" s="8" t="s">
        <v>104</v>
      </c>
      <c r="D699" s="8" t="s">
        <v>533</v>
      </c>
      <c r="E699" s="8" t="s">
        <v>131</v>
      </c>
      <c r="F699" s="49">
        <v>52.3</v>
      </c>
      <c r="G699" s="39">
        <v>52.3</v>
      </c>
      <c r="H699" s="39">
        <v>52.3</v>
      </c>
    </row>
    <row r="700" spans="1:8" ht="18.75" customHeight="1">
      <c r="A700" s="7" t="s">
        <v>534</v>
      </c>
      <c r="B700" s="8" t="s">
        <v>515</v>
      </c>
      <c r="C700" s="8" t="s">
        <v>110</v>
      </c>
      <c r="D700" s="8" t="s">
        <v>99</v>
      </c>
      <c r="E700" s="8" t="s">
        <v>98</v>
      </c>
      <c r="F700" s="49">
        <f>F701+F706+F709+F819+F824+F827</f>
        <v>518180.39</v>
      </c>
      <c r="G700" s="39">
        <f>G709+G827</f>
        <v>538148.3</v>
      </c>
      <c r="H700" s="39">
        <f>H709+H827</f>
        <v>543001.3</v>
      </c>
    </row>
    <row r="701" spans="1:8" ht="18.75" customHeight="1">
      <c r="A701" s="7" t="s">
        <v>60</v>
      </c>
      <c r="B701" s="8" t="s">
        <v>515</v>
      </c>
      <c r="C701" s="8" t="s">
        <v>110</v>
      </c>
      <c r="D701" s="8" t="s">
        <v>62</v>
      </c>
      <c r="E701" s="8"/>
      <c r="F701" s="49">
        <f>F702</f>
        <v>0</v>
      </c>
      <c r="G701" s="39"/>
      <c r="H701" s="39"/>
    </row>
    <row r="702" spans="1:8" ht="28.5" customHeight="1">
      <c r="A702" s="7" t="s">
        <v>61</v>
      </c>
      <c r="B702" s="8" t="s">
        <v>515</v>
      </c>
      <c r="C702" s="8" t="s">
        <v>110</v>
      </c>
      <c r="D702" s="8" t="s">
        <v>63</v>
      </c>
      <c r="E702" s="8"/>
      <c r="F702" s="49">
        <f>F703+F704+F705</f>
        <v>0</v>
      </c>
      <c r="G702" s="39"/>
      <c r="H702" s="39"/>
    </row>
    <row r="703" spans="1:8" ht="28.5" customHeight="1">
      <c r="A703" s="7" t="s">
        <v>593</v>
      </c>
      <c r="B703" s="8" t="s">
        <v>515</v>
      </c>
      <c r="C703" s="8" t="s">
        <v>110</v>
      </c>
      <c r="D703" s="8" t="s">
        <v>63</v>
      </c>
      <c r="E703" s="8" t="s">
        <v>594</v>
      </c>
      <c r="F703" s="49">
        <f>82.8-16.6-66.2</f>
        <v>0</v>
      </c>
      <c r="G703" s="39"/>
      <c r="H703" s="39"/>
    </row>
    <row r="704" spans="1:8" s="40" customFormat="1" ht="21" customHeight="1">
      <c r="A704" s="18" t="s">
        <v>543</v>
      </c>
      <c r="B704" s="13" t="s">
        <v>515</v>
      </c>
      <c r="C704" s="13" t="s">
        <v>110</v>
      </c>
      <c r="D704" s="13" t="s">
        <v>63</v>
      </c>
      <c r="E704" s="13" t="s">
        <v>542</v>
      </c>
      <c r="F704" s="49">
        <f>1189.6-17.2-1172.4</f>
        <v>0</v>
      </c>
      <c r="G704" s="48"/>
      <c r="H704" s="48"/>
    </row>
    <row r="705" spans="1:8" ht="18.75" customHeight="1">
      <c r="A705" s="7" t="s">
        <v>143</v>
      </c>
      <c r="B705" s="8" t="s">
        <v>515</v>
      </c>
      <c r="C705" s="8" t="s">
        <v>110</v>
      </c>
      <c r="D705" s="8" t="s">
        <v>63</v>
      </c>
      <c r="E705" s="8" t="s">
        <v>144</v>
      </c>
      <c r="F705" s="49">
        <f>1965.5-1965.5</f>
        <v>0</v>
      </c>
      <c r="G705" s="39"/>
      <c r="H705" s="39"/>
    </row>
    <row r="706" spans="1:8" ht="18.75" customHeight="1">
      <c r="A706" s="37" t="s">
        <v>328</v>
      </c>
      <c r="B706" s="8" t="s">
        <v>515</v>
      </c>
      <c r="C706" s="8" t="s">
        <v>110</v>
      </c>
      <c r="D706" s="8" t="s">
        <v>225</v>
      </c>
      <c r="E706" s="8"/>
      <c r="F706" s="49">
        <f>F707</f>
        <v>243.8</v>
      </c>
      <c r="G706" s="39"/>
      <c r="H706" s="39"/>
    </row>
    <row r="707" spans="1:8" ht="28.5" customHeight="1">
      <c r="A707" s="37" t="s">
        <v>329</v>
      </c>
      <c r="B707" s="8" t="s">
        <v>515</v>
      </c>
      <c r="C707" s="8" t="s">
        <v>110</v>
      </c>
      <c r="D707" s="8" t="s">
        <v>331</v>
      </c>
      <c r="E707" s="8"/>
      <c r="F707" s="49">
        <f>F708</f>
        <v>243.8</v>
      </c>
      <c r="G707" s="39"/>
      <c r="H707" s="39"/>
    </row>
    <row r="708" spans="1:8" ht="40.5" customHeight="1">
      <c r="A708" s="18" t="s">
        <v>157</v>
      </c>
      <c r="B708" s="13" t="s">
        <v>515</v>
      </c>
      <c r="C708" s="13" t="s">
        <v>110</v>
      </c>
      <c r="D708" s="13" t="s">
        <v>331</v>
      </c>
      <c r="E708" s="13" t="s">
        <v>158</v>
      </c>
      <c r="F708" s="48">
        <v>243.8</v>
      </c>
      <c r="G708" s="48"/>
      <c r="H708" s="48"/>
    </row>
    <row r="709" spans="1:8" ht="18.75" customHeight="1">
      <c r="A709" s="18" t="s">
        <v>488</v>
      </c>
      <c r="B709" s="13" t="s">
        <v>515</v>
      </c>
      <c r="C709" s="13" t="s">
        <v>110</v>
      </c>
      <c r="D709" s="13" t="s">
        <v>731</v>
      </c>
      <c r="E709" s="13" t="s">
        <v>98</v>
      </c>
      <c r="F709" s="48">
        <f>F710+F715+F717+F720+F726+F728+F730+F732+F744+F746+F749+F753+F756+F759+F762+F765+F768+F771+F775+F778+F781+F785+F788+F791+F794+F798+F806+F811+F814+F816</f>
        <v>513744.8</v>
      </c>
      <c r="G709" s="48">
        <f>G710+G715+G717+G720+G726+G728+G730+G732+G744+G746+G749+G753+G756+G759+G762+G765+G768+G771+G775+G778+G781+G785+G788+G791+G794+G798+G806+G811+G814+G816</f>
        <v>534924.3</v>
      </c>
      <c r="H709" s="48">
        <f>H710+H715+H717+H720+H726+H728+H730+H732+H744+H746+H749+H753+H756+H759+H762+H765+H768+H771+H775+H778+H781+H785+H788+H791+H794+H798+H806+H811+H814+H816</f>
        <v>539777.3</v>
      </c>
    </row>
    <row r="710" spans="1:8" ht="22.5" customHeight="1">
      <c r="A710" s="18" t="s">
        <v>488</v>
      </c>
      <c r="B710" s="13" t="s">
        <v>515</v>
      </c>
      <c r="C710" s="13" t="s">
        <v>110</v>
      </c>
      <c r="D710" s="13" t="s">
        <v>738</v>
      </c>
      <c r="E710" s="13" t="s">
        <v>98</v>
      </c>
      <c r="F710" s="48">
        <f>F711+F713</f>
        <v>410</v>
      </c>
      <c r="G710" s="48">
        <f>G711+G713</f>
        <v>410</v>
      </c>
      <c r="H710" s="48">
        <f>H711+H713</f>
        <v>410</v>
      </c>
    </row>
    <row r="711" spans="1:8" ht="58.5" customHeight="1">
      <c r="A711" s="18" t="s">
        <v>535</v>
      </c>
      <c r="B711" s="13" t="s">
        <v>515</v>
      </c>
      <c r="C711" s="13" t="s">
        <v>110</v>
      </c>
      <c r="D711" s="13" t="s">
        <v>536</v>
      </c>
      <c r="E711" s="13" t="s">
        <v>98</v>
      </c>
      <c r="F711" s="48">
        <f>F712</f>
        <v>160</v>
      </c>
      <c r="G711" s="48">
        <f>G712</f>
        <v>160</v>
      </c>
      <c r="H711" s="48">
        <f>H712</f>
        <v>160</v>
      </c>
    </row>
    <row r="712" spans="1:8" ht="34.5" customHeight="1">
      <c r="A712" s="7" t="s">
        <v>537</v>
      </c>
      <c r="B712" s="8" t="s">
        <v>515</v>
      </c>
      <c r="C712" s="8" t="s">
        <v>110</v>
      </c>
      <c r="D712" s="8" t="s">
        <v>536</v>
      </c>
      <c r="E712" s="8" t="s">
        <v>538</v>
      </c>
      <c r="F712" s="49">
        <v>160</v>
      </c>
      <c r="G712" s="39">
        <v>160</v>
      </c>
      <c r="H712" s="39">
        <v>160</v>
      </c>
    </row>
    <row r="713" spans="1:8" ht="47.25" customHeight="1">
      <c r="A713" s="18" t="s">
        <v>546</v>
      </c>
      <c r="B713" s="13" t="s">
        <v>515</v>
      </c>
      <c r="C713" s="13" t="s">
        <v>110</v>
      </c>
      <c r="D713" s="13" t="s">
        <v>547</v>
      </c>
      <c r="E713" s="13" t="s">
        <v>98</v>
      </c>
      <c r="F713" s="48">
        <f>F714</f>
        <v>250</v>
      </c>
      <c r="G713" s="48">
        <f>G714</f>
        <v>250</v>
      </c>
      <c r="H713" s="48">
        <f>H714</f>
        <v>250</v>
      </c>
    </row>
    <row r="714" spans="1:8" ht="38.25">
      <c r="A714" s="7" t="s">
        <v>494</v>
      </c>
      <c r="B714" s="8" t="s">
        <v>515</v>
      </c>
      <c r="C714" s="8" t="s">
        <v>110</v>
      </c>
      <c r="D714" s="8" t="s">
        <v>547</v>
      </c>
      <c r="E714" s="8" t="s">
        <v>495</v>
      </c>
      <c r="F714" s="49">
        <v>250</v>
      </c>
      <c r="G714" s="39">
        <v>250</v>
      </c>
      <c r="H714" s="39">
        <v>250</v>
      </c>
    </row>
    <row r="715" spans="1:8" ht="87" customHeight="1">
      <c r="A715" s="7" t="s">
        <v>548</v>
      </c>
      <c r="B715" s="8" t="s">
        <v>515</v>
      </c>
      <c r="C715" s="8" t="s">
        <v>110</v>
      </c>
      <c r="D715" s="8" t="s">
        <v>549</v>
      </c>
      <c r="E715" s="8" t="s">
        <v>98</v>
      </c>
      <c r="F715" s="49">
        <f>F716</f>
        <v>3476</v>
      </c>
      <c r="G715" s="39">
        <f>G716</f>
        <v>3685</v>
      </c>
      <c r="H715" s="39">
        <f>H716</f>
        <v>3926</v>
      </c>
    </row>
    <row r="716" spans="1:8" ht="34.5" customHeight="1">
      <c r="A716" s="7" t="s">
        <v>537</v>
      </c>
      <c r="B716" s="8" t="s">
        <v>515</v>
      </c>
      <c r="C716" s="8" t="s">
        <v>110</v>
      </c>
      <c r="D716" s="8" t="s">
        <v>549</v>
      </c>
      <c r="E716" s="8" t="s">
        <v>538</v>
      </c>
      <c r="F716" s="49">
        <f>3476+100-100</f>
        <v>3476</v>
      </c>
      <c r="G716" s="39">
        <v>3685</v>
      </c>
      <c r="H716" s="39">
        <v>3926</v>
      </c>
    </row>
    <row r="717" spans="1:8" ht="43.5" customHeight="1">
      <c r="A717" s="7" t="s">
        <v>550</v>
      </c>
      <c r="B717" s="8" t="s">
        <v>515</v>
      </c>
      <c r="C717" s="8" t="s">
        <v>110</v>
      </c>
      <c r="D717" s="8" t="s">
        <v>739</v>
      </c>
      <c r="E717" s="8" t="s">
        <v>98</v>
      </c>
      <c r="F717" s="49">
        <f aca="true" t="shared" si="30" ref="F717:H718">F718</f>
        <v>11707.2</v>
      </c>
      <c r="G717" s="39">
        <f t="shared" si="30"/>
        <v>12307</v>
      </c>
      <c r="H717" s="39">
        <f t="shared" si="30"/>
        <v>12922</v>
      </c>
    </row>
    <row r="718" spans="1:8" ht="59.25" customHeight="1">
      <c r="A718" s="7" t="s">
        <v>551</v>
      </c>
      <c r="B718" s="8" t="s">
        <v>515</v>
      </c>
      <c r="C718" s="8" t="s">
        <v>110</v>
      </c>
      <c r="D718" s="8" t="s">
        <v>552</v>
      </c>
      <c r="E718" s="8" t="s">
        <v>98</v>
      </c>
      <c r="F718" s="49">
        <f t="shared" si="30"/>
        <v>11707.2</v>
      </c>
      <c r="G718" s="39">
        <f t="shared" si="30"/>
        <v>12307</v>
      </c>
      <c r="H718" s="39">
        <f t="shared" si="30"/>
        <v>12922</v>
      </c>
    </row>
    <row r="719" spans="1:8" ht="48" customHeight="1">
      <c r="A719" s="7" t="s">
        <v>494</v>
      </c>
      <c r="B719" s="8" t="s">
        <v>515</v>
      </c>
      <c r="C719" s="8" t="s">
        <v>110</v>
      </c>
      <c r="D719" s="8" t="s">
        <v>552</v>
      </c>
      <c r="E719" s="8" t="s">
        <v>495</v>
      </c>
      <c r="F719" s="49">
        <f>11665+42.2</f>
        <v>11707.2</v>
      </c>
      <c r="G719" s="39">
        <v>12307</v>
      </c>
      <c r="H719" s="39">
        <v>12922</v>
      </c>
    </row>
    <row r="720" spans="1:8" ht="141" customHeight="1">
      <c r="A720" s="18" t="s">
        <v>554</v>
      </c>
      <c r="B720" s="13" t="s">
        <v>515</v>
      </c>
      <c r="C720" s="13" t="s">
        <v>110</v>
      </c>
      <c r="D720" s="13" t="s">
        <v>740</v>
      </c>
      <c r="E720" s="13" t="s">
        <v>98</v>
      </c>
      <c r="F720" s="48">
        <f>F721+F724</f>
        <v>38782.8</v>
      </c>
      <c r="G720" s="48">
        <f>G721+G724</f>
        <v>1872.8</v>
      </c>
      <c r="H720" s="48">
        <f>H721+H724</f>
        <v>1872.8</v>
      </c>
    </row>
    <row r="721" spans="1:8" ht="99" customHeight="1">
      <c r="A721" s="7" t="s">
        <v>555</v>
      </c>
      <c r="B721" s="8" t="s">
        <v>515</v>
      </c>
      <c r="C721" s="8" t="s">
        <v>110</v>
      </c>
      <c r="D721" s="8" t="s">
        <v>556</v>
      </c>
      <c r="E721" s="8" t="s">
        <v>98</v>
      </c>
      <c r="F721" s="49">
        <f>F723+F722</f>
        <v>38782.8</v>
      </c>
      <c r="G721" s="39">
        <v>0</v>
      </c>
      <c r="H721" s="39">
        <v>0</v>
      </c>
    </row>
    <row r="722" spans="1:8" ht="57.75" customHeight="1">
      <c r="A722" s="7" t="s">
        <v>407</v>
      </c>
      <c r="B722" s="8" t="s">
        <v>515</v>
      </c>
      <c r="C722" s="8" t="s">
        <v>110</v>
      </c>
      <c r="D722" s="8" t="s">
        <v>277</v>
      </c>
      <c r="E722" s="8" t="s">
        <v>405</v>
      </c>
      <c r="F722" s="49">
        <v>9185.4</v>
      </c>
      <c r="G722" s="39"/>
      <c r="H722" s="39"/>
    </row>
    <row r="723" spans="1:8" ht="29.25" customHeight="1">
      <c r="A723" s="7" t="s">
        <v>544</v>
      </c>
      <c r="B723" s="8" t="s">
        <v>515</v>
      </c>
      <c r="C723" s="8" t="s">
        <v>110</v>
      </c>
      <c r="D723" s="8" t="s">
        <v>556</v>
      </c>
      <c r="E723" s="8" t="s">
        <v>158</v>
      </c>
      <c r="F723" s="49">
        <v>29597.4</v>
      </c>
      <c r="G723" s="39">
        <v>0</v>
      </c>
      <c r="H723" s="39">
        <v>0</v>
      </c>
    </row>
    <row r="724" spans="1:8" ht="99" customHeight="1">
      <c r="A724" s="7" t="s">
        <v>566</v>
      </c>
      <c r="B724" s="8" t="s">
        <v>515</v>
      </c>
      <c r="C724" s="8" t="s">
        <v>110</v>
      </c>
      <c r="D724" s="8" t="s">
        <v>567</v>
      </c>
      <c r="E724" s="8" t="s">
        <v>98</v>
      </c>
      <c r="F724" s="49">
        <f>F725</f>
        <v>0</v>
      </c>
      <c r="G724" s="39">
        <f>G725</f>
        <v>1872.8</v>
      </c>
      <c r="H724" s="39">
        <f>H725</f>
        <v>1872.8</v>
      </c>
    </row>
    <row r="725" spans="1:8" ht="31.5" customHeight="1">
      <c r="A725" s="7" t="s">
        <v>557</v>
      </c>
      <c r="B725" s="8" t="s">
        <v>515</v>
      </c>
      <c r="C725" s="8" t="s">
        <v>110</v>
      </c>
      <c r="D725" s="8" t="s">
        <v>567</v>
      </c>
      <c r="E725" s="8" t="s">
        <v>558</v>
      </c>
      <c r="F725" s="49">
        <f>1916.4-1916.4</f>
        <v>0</v>
      </c>
      <c r="G725" s="39">
        <v>1872.8</v>
      </c>
      <c r="H725" s="39">
        <v>1872.8</v>
      </c>
    </row>
    <row r="726" spans="1:8" ht="57" customHeight="1">
      <c r="A726" s="7" t="s">
        <v>568</v>
      </c>
      <c r="B726" s="8" t="s">
        <v>515</v>
      </c>
      <c r="C726" s="8" t="s">
        <v>110</v>
      </c>
      <c r="D726" s="8" t="s">
        <v>569</v>
      </c>
      <c r="E726" s="8" t="s">
        <v>98</v>
      </c>
      <c r="F726" s="49">
        <f>F727</f>
        <v>22.7</v>
      </c>
      <c r="G726" s="39">
        <f>G727</f>
        <v>29.7</v>
      </c>
      <c r="H726" s="39">
        <f>H727</f>
        <v>29.7</v>
      </c>
    </row>
    <row r="727" spans="1:8" ht="33" customHeight="1">
      <c r="A727" s="7" t="s">
        <v>537</v>
      </c>
      <c r="B727" s="8" t="s">
        <v>515</v>
      </c>
      <c r="C727" s="8" t="s">
        <v>110</v>
      </c>
      <c r="D727" s="8" t="s">
        <v>569</v>
      </c>
      <c r="E727" s="8" t="s">
        <v>538</v>
      </c>
      <c r="F727" s="49">
        <f>29.7-7</f>
        <v>22.7</v>
      </c>
      <c r="G727" s="39">
        <v>29.7</v>
      </c>
      <c r="H727" s="39">
        <v>29.7</v>
      </c>
    </row>
    <row r="728" spans="1:8" ht="33.75" customHeight="1">
      <c r="A728" s="18" t="s">
        <v>571</v>
      </c>
      <c r="B728" s="13" t="s">
        <v>515</v>
      </c>
      <c r="C728" s="13" t="s">
        <v>110</v>
      </c>
      <c r="D728" s="13" t="s">
        <v>572</v>
      </c>
      <c r="E728" s="13" t="s">
        <v>98</v>
      </c>
      <c r="F728" s="48">
        <f>F729</f>
        <v>84504</v>
      </c>
      <c r="G728" s="48">
        <f>G729</f>
        <v>110541</v>
      </c>
      <c r="H728" s="48">
        <f>H729</f>
        <v>115820</v>
      </c>
    </row>
    <row r="729" spans="1:8" ht="36" customHeight="1">
      <c r="A729" s="7" t="s">
        <v>537</v>
      </c>
      <c r="B729" s="8" t="s">
        <v>515</v>
      </c>
      <c r="C729" s="8" t="s">
        <v>110</v>
      </c>
      <c r="D729" s="8" t="s">
        <v>572</v>
      </c>
      <c r="E729" s="8" t="s">
        <v>538</v>
      </c>
      <c r="F729" s="49">
        <f>103041-18537</f>
        <v>84504</v>
      </c>
      <c r="G729" s="39">
        <v>110541</v>
      </c>
      <c r="H729" s="39">
        <v>115820</v>
      </c>
    </row>
    <row r="730" spans="1:8" ht="44.25" customHeight="1">
      <c r="A730" s="7" t="s">
        <v>587</v>
      </c>
      <c r="B730" s="8" t="s">
        <v>515</v>
      </c>
      <c r="C730" s="8" t="s">
        <v>110</v>
      </c>
      <c r="D730" s="8" t="s">
        <v>588</v>
      </c>
      <c r="E730" s="8" t="s">
        <v>98</v>
      </c>
      <c r="F730" s="49">
        <f>F731</f>
        <v>30300</v>
      </c>
      <c r="G730" s="39">
        <f>G731</f>
        <v>40703</v>
      </c>
      <c r="H730" s="39">
        <f>H731</f>
        <v>40703</v>
      </c>
    </row>
    <row r="731" spans="1:8" ht="39" customHeight="1">
      <c r="A731" s="7" t="s">
        <v>494</v>
      </c>
      <c r="B731" s="8" t="s">
        <v>515</v>
      </c>
      <c r="C731" s="8" t="s">
        <v>110</v>
      </c>
      <c r="D731" s="8" t="s">
        <v>588</v>
      </c>
      <c r="E731" s="8" t="s">
        <v>495</v>
      </c>
      <c r="F731" s="49">
        <f>40703-5000-5403</f>
        <v>30300</v>
      </c>
      <c r="G731" s="39">
        <v>40703</v>
      </c>
      <c r="H731" s="39">
        <v>40703</v>
      </c>
    </row>
    <row r="732" spans="1:8" ht="36.75" customHeight="1">
      <c r="A732" s="10" t="s">
        <v>742</v>
      </c>
      <c r="B732" s="8" t="s">
        <v>515</v>
      </c>
      <c r="C732" s="8" t="s">
        <v>110</v>
      </c>
      <c r="D732" s="8" t="s">
        <v>741</v>
      </c>
      <c r="E732" s="8" t="s">
        <v>98</v>
      </c>
      <c r="F732" s="49">
        <f>F733+F735+F738+F741</f>
        <v>87192</v>
      </c>
      <c r="G732" s="39">
        <f>G733+G735+G738+G741</f>
        <v>91554</v>
      </c>
      <c r="H732" s="39">
        <f>H733+H735+H738+H741</f>
        <v>91554</v>
      </c>
    </row>
    <row r="733" spans="1:8" ht="34.5" customHeight="1">
      <c r="A733" s="7" t="s">
        <v>589</v>
      </c>
      <c r="B733" s="8" t="s">
        <v>515</v>
      </c>
      <c r="C733" s="8" t="s">
        <v>110</v>
      </c>
      <c r="D733" s="8" t="s">
        <v>590</v>
      </c>
      <c r="E733" s="8" t="s">
        <v>98</v>
      </c>
      <c r="F733" s="49">
        <f>F734</f>
        <v>36802</v>
      </c>
      <c r="G733" s="39">
        <f>G734</f>
        <v>37161</v>
      </c>
      <c r="H733" s="39">
        <f>H734</f>
        <v>37161</v>
      </c>
    </row>
    <row r="734" spans="1:8" ht="35.25" customHeight="1">
      <c r="A734" s="7" t="s">
        <v>537</v>
      </c>
      <c r="B734" s="8" t="s">
        <v>515</v>
      </c>
      <c r="C734" s="8" t="s">
        <v>110</v>
      </c>
      <c r="D734" s="8" t="s">
        <v>590</v>
      </c>
      <c r="E734" s="8" t="s">
        <v>538</v>
      </c>
      <c r="F734" s="49">
        <f>37161-359</f>
        <v>36802</v>
      </c>
      <c r="G734" s="39">
        <v>37161</v>
      </c>
      <c r="H734" s="39">
        <v>37161</v>
      </c>
    </row>
    <row r="735" spans="1:8" ht="37.5" customHeight="1">
      <c r="A735" s="7" t="s">
        <v>591</v>
      </c>
      <c r="B735" s="8" t="s">
        <v>515</v>
      </c>
      <c r="C735" s="8" t="s">
        <v>110</v>
      </c>
      <c r="D735" s="8" t="s">
        <v>592</v>
      </c>
      <c r="E735" s="8" t="s">
        <v>98</v>
      </c>
      <c r="F735" s="49">
        <f>F736+F737</f>
        <v>39724</v>
      </c>
      <c r="G735" s="39">
        <f>G736+G737</f>
        <v>42617</v>
      </c>
      <c r="H735" s="39">
        <f>H736+H737</f>
        <v>42617</v>
      </c>
    </row>
    <row r="736" spans="1:8" ht="38.25">
      <c r="A736" s="7" t="s">
        <v>494</v>
      </c>
      <c r="B736" s="8" t="s">
        <v>515</v>
      </c>
      <c r="C736" s="8" t="s">
        <v>110</v>
      </c>
      <c r="D736" s="8" t="s">
        <v>592</v>
      </c>
      <c r="E736" s="8" t="s">
        <v>495</v>
      </c>
      <c r="F736" s="49">
        <f>41617-2485.7</f>
        <v>39131.3</v>
      </c>
      <c r="G736" s="39">
        <v>41617</v>
      </c>
      <c r="H736" s="39">
        <v>41617</v>
      </c>
    </row>
    <row r="737" spans="1:8" ht="35.25" customHeight="1">
      <c r="A737" s="7" t="s">
        <v>593</v>
      </c>
      <c r="B737" s="8" t="s">
        <v>515</v>
      </c>
      <c r="C737" s="8" t="s">
        <v>110</v>
      </c>
      <c r="D737" s="8" t="s">
        <v>592</v>
      </c>
      <c r="E737" s="8" t="s">
        <v>594</v>
      </c>
      <c r="F737" s="49">
        <f>1000-407.3</f>
        <v>592.7</v>
      </c>
      <c r="G737" s="39">
        <v>1000</v>
      </c>
      <c r="H737" s="39">
        <v>1000</v>
      </c>
    </row>
    <row r="738" spans="1:8" ht="115.5" customHeight="1">
      <c r="A738" s="7" t="s">
        <v>595</v>
      </c>
      <c r="B738" s="8" t="s">
        <v>515</v>
      </c>
      <c r="C738" s="8" t="s">
        <v>110</v>
      </c>
      <c r="D738" s="8" t="s">
        <v>596</v>
      </c>
      <c r="E738" s="8" t="s">
        <v>98</v>
      </c>
      <c r="F738" s="49">
        <f>F739+F740</f>
        <v>5157</v>
      </c>
      <c r="G738" s="39">
        <f>G739+G740</f>
        <v>6031</v>
      </c>
      <c r="H738" s="39">
        <f>H739+H740</f>
        <v>6031</v>
      </c>
    </row>
    <row r="739" spans="1:8" ht="38.25">
      <c r="A739" s="7" t="s">
        <v>494</v>
      </c>
      <c r="B739" s="8" t="s">
        <v>515</v>
      </c>
      <c r="C739" s="8" t="s">
        <v>110</v>
      </c>
      <c r="D739" s="8" t="s">
        <v>596</v>
      </c>
      <c r="E739" s="8" t="s">
        <v>495</v>
      </c>
      <c r="F739" s="49">
        <f>5941-828.4</f>
        <v>5112.6</v>
      </c>
      <c r="G739" s="39">
        <v>5941</v>
      </c>
      <c r="H739" s="39">
        <v>5941</v>
      </c>
    </row>
    <row r="740" spans="1:8" ht="34.5" customHeight="1">
      <c r="A740" s="7" t="s">
        <v>593</v>
      </c>
      <c r="B740" s="8" t="s">
        <v>515</v>
      </c>
      <c r="C740" s="8" t="s">
        <v>110</v>
      </c>
      <c r="D740" s="8" t="s">
        <v>596</v>
      </c>
      <c r="E740" s="8" t="s">
        <v>594</v>
      </c>
      <c r="F740" s="49">
        <f>90-45.6</f>
        <v>44.4</v>
      </c>
      <c r="G740" s="39">
        <v>90</v>
      </c>
      <c r="H740" s="39">
        <v>90</v>
      </c>
    </row>
    <row r="741" spans="1:8" ht="72.75" customHeight="1">
      <c r="A741" s="18" t="s">
        <v>597</v>
      </c>
      <c r="B741" s="8" t="s">
        <v>515</v>
      </c>
      <c r="C741" s="8" t="s">
        <v>110</v>
      </c>
      <c r="D741" s="8" t="s">
        <v>598</v>
      </c>
      <c r="E741" s="8" t="s">
        <v>98</v>
      </c>
      <c r="F741" s="49">
        <f>F742+F743</f>
        <v>5509</v>
      </c>
      <c r="G741" s="39">
        <f>G742+G743</f>
        <v>5745</v>
      </c>
      <c r="H741" s="39">
        <f>H742+H743</f>
        <v>5745</v>
      </c>
    </row>
    <row r="742" spans="1:8" ht="42.75" customHeight="1">
      <c r="A742" s="7" t="s">
        <v>494</v>
      </c>
      <c r="B742" s="8" t="s">
        <v>515</v>
      </c>
      <c r="C742" s="8" t="s">
        <v>110</v>
      </c>
      <c r="D742" s="8" t="s">
        <v>598</v>
      </c>
      <c r="E742" s="8" t="s">
        <v>495</v>
      </c>
      <c r="F742" s="49">
        <f>5730-256</f>
        <v>5474</v>
      </c>
      <c r="G742" s="39">
        <v>5730</v>
      </c>
      <c r="H742" s="39">
        <v>5730</v>
      </c>
    </row>
    <row r="743" spans="1:8" ht="33" customHeight="1">
      <c r="A743" s="7" t="s">
        <v>593</v>
      </c>
      <c r="B743" s="8" t="s">
        <v>515</v>
      </c>
      <c r="C743" s="8" t="s">
        <v>110</v>
      </c>
      <c r="D743" s="8" t="s">
        <v>598</v>
      </c>
      <c r="E743" s="8" t="s">
        <v>594</v>
      </c>
      <c r="F743" s="49">
        <f>15+20</f>
        <v>35</v>
      </c>
      <c r="G743" s="39">
        <v>15</v>
      </c>
      <c r="H743" s="39">
        <v>15</v>
      </c>
    </row>
    <row r="744" spans="1:8" ht="76.5">
      <c r="A744" s="7" t="s">
        <v>601</v>
      </c>
      <c r="B744" s="8" t="s">
        <v>515</v>
      </c>
      <c r="C744" s="38" t="s">
        <v>110</v>
      </c>
      <c r="D744" s="38" t="s">
        <v>602</v>
      </c>
      <c r="E744" s="38" t="s">
        <v>98</v>
      </c>
      <c r="F744" s="49"/>
      <c r="G744" s="39">
        <f>G745</f>
        <v>14000</v>
      </c>
      <c r="H744" s="39">
        <f>H745</f>
        <v>14000</v>
      </c>
    </row>
    <row r="745" spans="1:8" ht="45" customHeight="1">
      <c r="A745" s="7" t="s">
        <v>157</v>
      </c>
      <c r="B745" s="8" t="s">
        <v>515</v>
      </c>
      <c r="C745" s="8" t="s">
        <v>110</v>
      </c>
      <c r="D745" s="8" t="s">
        <v>602</v>
      </c>
      <c r="E745" s="8" t="s">
        <v>158</v>
      </c>
      <c r="F745" s="49">
        <f>14000-14000</f>
        <v>0</v>
      </c>
      <c r="G745" s="39">
        <v>14000</v>
      </c>
      <c r="H745" s="39">
        <v>14000</v>
      </c>
    </row>
    <row r="746" spans="1:8" ht="38.25">
      <c r="A746" s="10" t="s">
        <v>743</v>
      </c>
      <c r="B746" s="8" t="s">
        <v>515</v>
      </c>
      <c r="C746" s="8" t="s">
        <v>110</v>
      </c>
      <c r="D746" s="8" t="s">
        <v>744</v>
      </c>
      <c r="E746" s="8" t="s">
        <v>98</v>
      </c>
      <c r="F746" s="49">
        <f aca="true" t="shared" si="31" ref="F746:H747">F747</f>
        <v>0</v>
      </c>
      <c r="G746" s="39">
        <f t="shared" si="31"/>
        <v>40</v>
      </c>
      <c r="H746" s="39">
        <f t="shared" si="31"/>
        <v>40</v>
      </c>
    </row>
    <row r="747" spans="1:8" ht="28.5" customHeight="1">
      <c r="A747" s="7" t="s">
        <v>603</v>
      </c>
      <c r="B747" s="8" t="s">
        <v>515</v>
      </c>
      <c r="C747" s="8" t="s">
        <v>110</v>
      </c>
      <c r="D747" s="8" t="s">
        <v>604</v>
      </c>
      <c r="E747" s="8" t="s">
        <v>98</v>
      </c>
      <c r="F747" s="49">
        <f t="shared" si="31"/>
        <v>0</v>
      </c>
      <c r="G747" s="39">
        <f t="shared" si="31"/>
        <v>40</v>
      </c>
      <c r="H747" s="39">
        <f t="shared" si="31"/>
        <v>40</v>
      </c>
    </row>
    <row r="748" spans="1:8" ht="38.25">
      <c r="A748" s="7" t="s">
        <v>494</v>
      </c>
      <c r="B748" s="8" t="s">
        <v>515</v>
      </c>
      <c r="C748" s="8" t="s">
        <v>110</v>
      </c>
      <c r="D748" s="8" t="s">
        <v>604</v>
      </c>
      <c r="E748" s="8" t="s">
        <v>495</v>
      </c>
      <c r="F748" s="49">
        <f>40-40</f>
        <v>0</v>
      </c>
      <c r="G748" s="39">
        <v>40</v>
      </c>
      <c r="H748" s="39">
        <v>40</v>
      </c>
    </row>
    <row r="749" spans="1:8" ht="57" customHeight="1">
      <c r="A749" s="7" t="s">
        <v>605</v>
      </c>
      <c r="B749" s="8" t="s">
        <v>515</v>
      </c>
      <c r="C749" s="8" t="s">
        <v>110</v>
      </c>
      <c r="D749" s="8" t="s">
        <v>745</v>
      </c>
      <c r="E749" s="8" t="s">
        <v>98</v>
      </c>
      <c r="F749" s="49">
        <f aca="true" t="shared" si="32" ref="F749:H750">F750</f>
        <v>16634</v>
      </c>
      <c r="G749" s="39">
        <f t="shared" si="32"/>
        <v>19354</v>
      </c>
      <c r="H749" s="39">
        <f t="shared" si="32"/>
        <v>19354</v>
      </c>
    </row>
    <row r="750" spans="1:8" ht="25.5">
      <c r="A750" s="7" t="s">
        <v>606</v>
      </c>
      <c r="B750" s="8" t="s">
        <v>515</v>
      </c>
      <c r="C750" s="8" t="s">
        <v>110</v>
      </c>
      <c r="D750" s="8" t="s">
        <v>607</v>
      </c>
      <c r="E750" s="8" t="s">
        <v>98</v>
      </c>
      <c r="F750" s="49">
        <f>F751+F752</f>
        <v>16634</v>
      </c>
      <c r="G750" s="39">
        <f t="shared" si="32"/>
        <v>19354</v>
      </c>
      <c r="H750" s="39">
        <f t="shared" si="32"/>
        <v>19354</v>
      </c>
    </row>
    <row r="751" spans="1:8" ht="43.5" customHeight="1">
      <c r="A751" s="7" t="s">
        <v>494</v>
      </c>
      <c r="B751" s="8" t="s">
        <v>515</v>
      </c>
      <c r="C751" s="8" t="s">
        <v>110</v>
      </c>
      <c r="D751" s="8" t="s">
        <v>607</v>
      </c>
      <c r="E751" s="8" t="s">
        <v>495</v>
      </c>
      <c r="F751" s="49">
        <f>19354-1720-3252.7-273-1000</f>
        <v>13108.3</v>
      </c>
      <c r="G751" s="39">
        <v>19354</v>
      </c>
      <c r="H751" s="39">
        <v>19354</v>
      </c>
    </row>
    <row r="752" spans="1:8" ht="36" customHeight="1">
      <c r="A752" s="7" t="s">
        <v>593</v>
      </c>
      <c r="B752" s="8" t="s">
        <v>515</v>
      </c>
      <c r="C752" s="8" t="s">
        <v>110</v>
      </c>
      <c r="D752" s="8" t="s">
        <v>607</v>
      </c>
      <c r="E752" s="8" t="s">
        <v>594</v>
      </c>
      <c r="F752" s="49">
        <f>3525.7</f>
        <v>3525.7</v>
      </c>
      <c r="G752" s="39"/>
      <c r="H752" s="39"/>
    </row>
    <row r="753" spans="1:8" ht="45" customHeight="1">
      <c r="A753" s="7" t="s">
        <v>608</v>
      </c>
      <c r="B753" s="8" t="s">
        <v>515</v>
      </c>
      <c r="C753" s="8" t="s">
        <v>110</v>
      </c>
      <c r="D753" s="8" t="s">
        <v>746</v>
      </c>
      <c r="E753" s="8" t="s">
        <v>98</v>
      </c>
      <c r="F753" s="49">
        <f aca="true" t="shared" si="33" ref="F753:H754">F754</f>
        <v>99</v>
      </c>
      <c r="G753" s="39">
        <f t="shared" si="33"/>
        <v>1610</v>
      </c>
      <c r="H753" s="39">
        <f t="shared" si="33"/>
        <v>1610</v>
      </c>
    </row>
    <row r="754" spans="1:8" ht="32.25" customHeight="1">
      <c r="A754" s="7" t="s">
        <v>609</v>
      </c>
      <c r="B754" s="8" t="s">
        <v>515</v>
      </c>
      <c r="C754" s="8" t="s">
        <v>110</v>
      </c>
      <c r="D754" s="8" t="s">
        <v>610</v>
      </c>
      <c r="E754" s="8" t="s">
        <v>98</v>
      </c>
      <c r="F754" s="49">
        <f t="shared" si="33"/>
        <v>99</v>
      </c>
      <c r="G754" s="39">
        <f t="shared" si="33"/>
        <v>1610</v>
      </c>
      <c r="H754" s="39">
        <f t="shared" si="33"/>
        <v>1610</v>
      </c>
    </row>
    <row r="755" spans="1:8" ht="38.25">
      <c r="A755" s="7" t="s">
        <v>494</v>
      </c>
      <c r="B755" s="8" t="s">
        <v>515</v>
      </c>
      <c r="C755" s="8" t="s">
        <v>110</v>
      </c>
      <c r="D755" s="8" t="s">
        <v>610</v>
      </c>
      <c r="E755" s="8" t="s">
        <v>495</v>
      </c>
      <c r="F755" s="49">
        <f>1610-1300-211</f>
        <v>99</v>
      </c>
      <c r="G755" s="39">
        <v>1610</v>
      </c>
      <c r="H755" s="39">
        <v>1610</v>
      </c>
    </row>
    <row r="756" spans="1:8" ht="83.25" customHeight="1">
      <c r="A756" s="7" t="s">
        <v>611</v>
      </c>
      <c r="B756" s="8" t="s">
        <v>515</v>
      </c>
      <c r="C756" s="8" t="s">
        <v>110</v>
      </c>
      <c r="D756" s="8" t="s">
        <v>747</v>
      </c>
      <c r="E756" s="8" t="s">
        <v>98</v>
      </c>
      <c r="F756" s="49">
        <f aca="true" t="shared" si="34" ref="F756:H757">F757</f>
        <v>402</v>
      </c>
      <c r="G756" s="39">
        <f t="shared" si="34"/>
        <v>453</v>
      </c>
      <c r="H756" s="39">
        <f t="shared" si="34"/>
        <v>453</v>
      </c>
    </row>
    <row r="757" spans="1:8" ht="51">
      <c r="A757" s="7" t="s">
        <v>612</v>
      </c>
      <c r="B757" s="8" t="s">
        <v>515</v>
      </c>
      <c r="C757" s="8" t="s">
        <v>110</v>
      </c>
      <c r="D757" s="8" t="s">
        <v>613</v>
      </c>
      <c r="E757" s="8" t="s">
        <v>98</v>
      </c>
      <c r="F757" s="49">
        <f t="shared" si="34"/>
        <v>402</v>
      </c>
      <c r="G757" s="39">
        <f t="shared" si="34"/>
        <v>453</v>
      </c>
      <c r="H757" s="39">
        <f t="shared" si="34"/>
        <v>453</v>
      </c>
    </row>
    <row r="758" spans="1:8" ht="38.25">
      <c r="A758" s="7" t="s">
        <v>494</v>
      </c>
      <c r="B758" s="8" t="s">
        <v>515</v>
      </c>
      <c r="C758" s="8" t="s">
        <v>110</v>
      </c>
      <c r="D758" s="8" t="s">
        <v>613</v>
      </c>
      <c r="E758" s="8" t="s">
        <v>495</v>
      </c>
      <c r="F758" s="49">
        <f>453-51</f>
        <v>402</v>
      </c>
      <c r="G758" s="39">
        <v>453</v>
      </c>
      <c r="H758" s="39">
        <v>453</v>
      </c>
    </row>
    <row r="759" spans="1:8" ht="60" customHeight="1">
      <c r="A759" s="7" t="s">
        <v>622</v>
      </c>
      <c r="B759" s="8" t="s">
        <v>515</v>
      </c>
      <c r="C759" s="8" t="s">
        <v>110</v>
      </c>
      <c r="D759" s="8" t="s">
        <v>748</v>
      </c>
      <c r="E759" s="8" t="s">
        <v>98</v>
      </c>
      <c r="F759" s="49">
        <f aca="true" t="shared" si="35" ref="F759:H760">F760</f>
        <v>363</v>
      </c>
      <c r="G759" s="39">
        <f t="shared" si="35"/>
        <v>306</v>
      </c>
      <c r="H759" s="39">
        <f t="shared" si="35"/>
        <v>306</v>
      </c>
    </row>
    <row r="760" spans="1:8" ht="45.75" customHeight="1">
      <c r="A760" s="7" t="s">
        <v>623</v>
      </c>
      <c r="B760" s="8" t="s">
        <v>515</v>
      </c>
      <c r="C760" s="8" t="s">
        <v>110</v>
      </c>
      <c r="D760" s="8" t="s">
        <v>624</v>
      </c>
      <c r="E760" s="8" t="s">
        <v>98</v>
      </c>
      <c r="F760" s="49">
        <f t="shared" si="35"/>
        <v>363</v>
      </c>
      <c r="G760" s="39">
        <f t="shared" si="35"/>
        <v>306</v>
      </c>
      <c r="H760" s="39">
        <f t="shared" si="35"/>
        <v>306</v>
      </c>
    </row>
    <row r="761" spans="1:8" ht="50.25" customHeight="1">
      <c r="A761" s="7" t="s">
        <v>494</v>
      </c>
      <c r="B761" s="8" t="s">
        <v>515</v>
      </c>
      <c r="C761" s="8" t="s">
        <v>110</v>
      </c>
      <c r="D761" s="8" t="s">
        <v>624</v>
      </c>
      <c r="E761" s="8" t="s">
        <v>495</v>
      </c>
      <c r="F761" s="49">
        <f>306+17+40</f>
        <v>363</v>
      </c>
      <c r="G761" s="39">
        <v>306</v>
      </c>
      <c r="H761" s="39">
        <v>306</v>
      </c>
    </row>
    <row r="762" spans="1:8" ht="54.75" customHeight="1">
      <c r="A762" s="7" t="s">
        <v>625</v>
      </c>
      <c r="B762" s="8" t="s">
        <v>515</v>
      </c>
      <c r="C762" s="8" t="s">
        <v>110</v>
      </c>
      <c r="D762" s="8" t="s">
        <v>749</v>
      </c>
      <c r="E762" s="8" t="s">
        <v>98</v>
      </c>
      <c r="F762" s="49">
        <f aca="true" t="shared" si="36" ref="F762:H763">F763</f>
        <v>110</v>
      </c>
      <c r="G762" s="39">
        <f t="shared" si="36"/>
        <v>114</v>
      </c>
      <c r="H762" s="39">
        <f t="shared" si="36"/>
        <v>114</v>
      </c>
    </row>
    <row r="763" spans="1:8" ht="35.25" customHeight="1">
      <c r="A763" s="7" t="s">
        <v>626</v>
      </c>
      <c r="B763" s="8" t="s">
        <v>515</v>
      </c>
      <c r="C763" s="8" t="s">
        <v>110</v>
      </c>
      <c r="D763" s="8" t="s">
        <v>627</v>
      </c>
      <c r="E763" s="8" t="s">
        <v>98</v>
      </c>
      <c r="F763" s="49">
        <f t="shared" si="36"/>
        <v>110</v>
      </c>
      <c r="G763" s="39">
        <f t="shared" si="36"/>
        <v>114</v>
      </c>
      <c r="H763" s="39">
        <f t="shared" si="36"/>
        <v>114</v>
      </c>
    </row>
    <row r="764" spans="1:8" ht="42" customHeight="1">
      <c r="A764" s="7" t="s">
        <v>494</v>
      </c>
      <c r="B764" s="8" t="s">
        <v>515</v>
      </c>
      <c r="C764" s="8" t="s">
        <v>110</v>
      </c>
      <c r="D764" s="8" t="s">
        <v>627</v>
      </c>
      <c r="E764" s="8" t="s">
        <v>495</v>
      </c>
      <c r="F764" s="49">
        <f>114-4</f>
        <v>110</v>
      </c>
      <c r="G764" s="39">
        <v>114</v>
      </c>
      <c r="H764" s="39">
        <v>114</v>
      </c>
    </row>
    <row r="765" spans="1:8" ht="93.75" customHeight="1">
      <c r="A765" s="7" t="s">
        <v>628</v>
      </c>
      <c r="B765" s="8" t="s">
        <v>515</v>
      </c>
      <c r="C765" s="8" t="s">
        <v>110</v>
      </c>
      <c r="D765" s="8" t="s">
        <v>750</v>
      </c>
      <c r="E765" s="8" t="s">
        <v>98</v>
      </c>
      <c r="F765" s="49">
        <f aca="true" t="shared" si="37" ref="F765:H766">F766</f>
        <v>0</v>
      </c>
      <c r="G765" s="39">
        <f t="shared" si="37"/>
        <v>14</v>
      </c>
      <c r="H765" s="39">
        <f t="shared" si="37"/>
        <v>14</v>
      </c>
    </row>
    <row r="766" spans="1:8" ht="99" customHeight="1">
      <c r="A766" s="7" t="s">
        <v>629</v>
      </c>
      <c r="B766" s="8" t="s">
        <v>515</v>
      </c>
      <c r="C766" s="8" t="s">
        <v>110</v>
      </c>
      <c r="D766" s="8" t="s">
        <v>630</v>
      </c>
      <c r="E766" s="8" t="s">
        <v>98</v>
      </c>
      <c r="F766" s="49">
        <f t="shared" si="37"/>
        <v>0</v>
      </c>
      <c r="G766" s="39">
        <f t="shared" si="37"/>
        <v>14</v>
      </c>
      <c r="H766" s="39">
        <f t="shared" si="37"/>
        <v>14</v>
      </c>
    </row>
    <row r="767" spans="1:8" ht="38.25">
      <c r="A767" s="7" t="s">
        <v>494</v>
      </c>
      <c r="B767" s="8" t="s">
        <v>515</v>
      </c>
      <c r="C767" s="8" t="s">
        <v>110</v>
      </c>
      <c r="D767" s="8" t="s">
        <v>630</v>
      </c>
      <c r="E767" s="8" t="s">
        <v>495</v>
      </c>
      <c r="F767" s="49">
        <f>14-3-11</f>
        <v>0</v>
      </c>
      <c r="G767" s="39">
        <v>14</v>
      </c>
      <c r="H767" s="39">
        <v>14</v>
      </c>
    </row>
    <row r="768" spans="1:8" ht="72.75" customHeight="1">
      <c r="A768" s="7" t="s">
        <v>631</v>
      </c>
      <c r="B768" s="8" t="s">
        <v>515</v>
      </c>
      <c r="C768" s="8" t="s">
        <v>110</v>
      </c>
      <c r="D768" s="8" t="s">
        <v>751</v>
      </c>
      <c r="E768" s="8" t="s">
        <v>98</v>
      </c>
      <c r="F768" s="49">
        <f aca="true" t="shared" si="38" ref="F768:H769">F769</f>
        <v>142</v>
      </c>
      <c r="G768" s="39">
        <f t="shared" si="38"/>
        <v>374</v>
      </c>
      <c r="H768" s="39">
        <f t="shared" si="38"/>
        <v>374</v>
      </c>
    </row>
    <row r="769" spans="1:8" ht="45.75" customHeight="1">
      <c r="A769" s="7" t="s">
        <v>632</v>
      </c>
      <c r="B769" s="8" t="s">
        <v>515</v>
      </c>
      <c r="C769" s="8" t="s">
        <v>110</v>
      </c>
      <c r="D769" s="8" t="s">
        <v>633</v>
      </c>
      <c r="E769" s="8" t="s">
        <v>98</v>
      </c>
      <c r="F769" s="49">
        <f t="shared" si="38"/>
        <v>142</v>
      </c>
      <c r="G769" s="39">
        <f t="shared" si="38"/>
        <v>374</v>
      </c>
      <c r="H769" s="39">
        <f t="shared" si="38"/>
        <v>374</v>
      </c>
    </row>
    <row r="770" spans="1:8" ht="38.25">
      <c r="A770" s="7" t="s">
        <v>494</v>
      </c>
      <c r="B770" s="8" t="s">
        <v>515</v>
      </c>
      <c r="C770" s="8" t="s">
        <v>110</v>
      </c>
      <c r="D770" s="8" t="s">
        <v>633</v>
      </c>
      <c r="E770" s="8" t="s">
        <v>495</v>
      </c>
      <c r="F770" s="49">
        <f>374-100-132</f>
        <v>142</v>
      </c>
      <c r="G770" s="39">
        <v>374</v>
      </c>
      <c r="H770" s="39">
        <v>374</v>
      </c>
    </row>
    <row r="771" spans="1:8" ht="56.25" customHeight="1">
      <c r="A771" s="7" t="s">
        <v>634</v>
      </c>
      <c r="B771" s="8" t="s">
        <v>515</v>
      </c>
      <c r="C771" s="8" t="s">
        <v>110</v>
      </c>
      <c r="D771" s="8" t="s">
        <v>752</v>
      </c>
      <c r="E771" s="8" t="s">
        <v>98</v>
      </c>
      <c r="F771" s="49">
        <f>F772+F774</f>
        <v>33.1</v>
      </c>
      <c r="G771" s="49">
        <f>G772+G774</f>
        <v>20</v>
      </c>
      <c r="H771" s="49">
        <f>H772+H774</f>
        <v>20</v>
      </c>
    </row>
    <row r="772" spans="1:8" ht="31.5" customHeight="1">
      <c r="A772" s="7" t="s">
        <v>635</v>
      </c>
      <c r="B772" s="8" t="s">
        <v>515</v>
      </c>
      <c r="C772" s="8" t="s">
        <v>110</v>
      </c>
      <c r="D772" s="8" t="s">
        <v>636</v>
      </c>
      <c r="E772" s="8" t="s">
        <v>98</v>
      </c>
      <c r="F772" s="49">
        <f>F773</f>
        <v>2</v>
      </c>
      <c r="G772" s="39">
        <f>G773</f>
        <v>20</v>
      </c>
      <c r="H772" s="39">
        <f>H773</f>
        <v>20</v>
      </c>
    </row>
    <row r="773" spans="1:8" ht="33" customHeight="1">
      <c r="A773" s="7" t="s">
        <v>537</v>
      </c>
      <c r="B773" s="8" t="s">
        <v>515</v>
      </c>
      <c r="C773" s="8" t="s">
        <v>110</v>
      </c>
      <c r="D773" s="8" t="s">
        <v>636</v>
      </c>
      <c r="E773" s="8" t="s">
        <v>538</v>
      </c>
      <c r="F773" s="49">
        <f>20-18</f>
        <v>2</v>
      </c>
      <c r="G773" s="39">
        <v>20</v>
      </c>
      <c r="H773" s="39">
        <v>20</v>
      </c>
    </row>
    <row r="774" spans="1:8" ht="33" customHeight="1">
      <c r="A774" s="7" t="s">
        <v>593</v>
      </c>
      <c r="B774" s="8" t="s">
        <v>515</v>
      </c>
      <c r="C774" s="8" t="s">
        <v>110</v>
      </c>
      <c r="D774" s="8" t="s">
        <v>294</v>
      </c>
      <c r="E774" s="8" t="s">
        <v>594</v>
      </c>
      <c r="F774" s="49">
        <f>31.1</f>
        <v>31.1</v>
      </c>
      <c r="G774" s="39"/>
      <c r="H774" s="39"/>
    </row>
    <row r="775" spans="1:8" ht="54" customHeight="1">
      <c r="A775" s="7" t="s">
        <v>639</v>
      </c>
      <c r="B775" s="8" t="s">
        <v>515</v>
      </c>
      <c r="C775" s="8" t="s">
        <v>110</v>
      </c>
      <c r="D775" s="8" t="s">
        <v>753</v>
      </c>
      <c r="E775" s="8" t="s">
        <v>98</v>
      </c>
      <c r="F775" s="49">
        <f aca="true" t="shared" si="39" ref="F775:H776">F776</f>
        <v>1341</v>
      </c>
      <c r="G775" s="39">
        <f t="shared" si="39"/>
        <v>1411</v>
      </c>
      <c r="H775" s="39">
        <f t="shared" si="39"/>
        <v>1411</v>
      </c>
    </row>
    <row r="776" spans="1:8" ht="34.5" customHeight="1">
      <c r="A776" s="7" t="s">
        <v>640</v>
      </c>
      <c r="B776" s="8" t="s">
        <v>515</v>
      </c>
      <c r="C776" s="8" t="s">
        <v>110</v>
      </c>
      <c r="D776" s="8" t="s">
        <v>641</v>
      </c>
      <c r="E776" s="8" t="s">
        <v>98</v>
      </c>
      <c r="F776" s="49">
        <f t="shared" si="39"/>
        <v>1341</v>
      </c>
      <c r="G776" s="39">
        <f t="shared" si="39"/>
        <v>1411</v>
      </c>
      <c r="H776" s="39">
        <f t="shared" si="39"/>
        <v>1411</v>
      </c>
    </row>
    <row r="777" spans="1:8" ht="38.25">
      <c r="A777" s="7" t="s">
        <v>494</v>
      </c>
      <c r="B777" s="8" t="s">
        <v>515</v>
      </c>
      <c r="C777" s="8" t="s">
        <v>110</v>
      </c>
      <c r="D777" s="8" t="s">
        <v>641</v>
      </c>
      <c r="E777" s="8" t="s">
        <v>495</v>
      </c>
      <c r="F777" s="49">
        <f>1411-70</f>
        <v>1341</v>
      </c>
      <c r="G777" s="39">
        <v>1411</v>
      </c>
      <c r="H777" s="39">
        <v>1411</v>
      </c>
    </row>
    <row r="778" spans="1:8" ht="45" customHeight="1">
      <c r="A778" s="7" t="s">
        <v>642</v>
      </c>
      <c r="B778" s="8" t="s">
        <v>515</v>
      </c>
      <c r="C778" s="8" t="s">
        <v>110</v>
      </c>
      <c r="D778" s="8" t="s">
        <v>754</v>
      </c>
      <c r="E778" s="8" t="s">
        <v>98</v>
      </c>
      <c r="F778" s="49">
        <f aca="true" t="shared" si="40" ref="F778:H779">F779</f>
        <v>42963</v>
      </c>
      <c r="G778" s="39">
        <f t="shared" si="40"/>
        <v>44369</v>
      </c>
      <c r="H778" s="39">
        <f t="shared" si="40"/>
        <v>43087</v>
      </c>
    </row>
    <row r="779" spans="1:8" ht="30" customHeight="1">
      <c r="A779" s="7" t="s">
        <v>643</v>
      </c>
      <c r="B779" s="8" t="s">
        <v>515</v>
      </c>
      <c r="C779" s="8" t="s">
        <v>110</v>
      </c>
      <c r="D779" s="8" t="s">
        <v>644</v>
      </c>
      <c r="E779" s="8" t="s">
        <v>98</v>
      </c>
      <c r="F779" s="49">
        <f t="shared" si="40"/>
        <v>42963</v>
      </c>
      <c r="G779" s="39">
        <f t="shared" si="40"/>
        <v>44369</v>
      </c>
      <c r="H779" s="39">
        <f t="shared" si="40"/>
        <v>43087</v>
      </c>
    </row>
    <row r="780" spans="1:8" ht="33.75" customHeight="1">
      <c r="A780" s="7" t="s">
        <v>537</v>
      </c>
      <c r="B780" s="8" t="s">
        <v>515</v>
      </c>
      <c r="C780" s="8" t="s">
        <v>110</v>
      </c>
      <c r="D780" s="8" t="s">
        <v>644</v>
      </c>
      <c r="E780" s="8" t="s">
        <v>538</v>
      </c>
      <c r="F780" s="49">
        <f>45973-3010</f>
        <v>42963</v>
      </c>
      <c r="G780" s="39">
        <v>44369</v>
      </c>
      <c r="H780" s="39">
        <v>43087</v>
      </c>
    </row>
    <row r="781" spans="1:8" ht="57.75" customHeight="1">
      <c r="A781" s="7" t="s">
        <v>645</v>
      </c>
      <c r="B781" s="8" t="s">
        <v>515</v>
      </c>
      <c r="C781" s="8" t="s">
        <v>110</v>
      </c>
      <c r="D781" s="8" t="s">
        <v>755</v>
      </c>
      <c r="E781" s="8" t="s">
        <v>98</v>
      </c>
      <c r="F781" s="49">
        <f>F782</f>
        <v>2075</v>
      </c>
      <c r="G781" s="39">
        <f>G782</f>
        <v>2833</v>
      </c>
      <c r="H781" s="39">
        <f>H782</f>
        <v>2833</v>
      </c>
    </row>
    <row r="782" spans="1:8" ht="33" customHeight="1">
      <c r="A782" s="7" t="s">
        <v>646</v>
      </c>
      <c r="B782" s="8" t="s">
        <v>515</v>
      </c>
      <c r="C782" s="8" t="s">
        <v>110</v>
      </c>
      <c r="D782" s="8" t="s">
        <v>647</v>
      </c>
      <c r="E782" s="8" t="s">
        <v>98</v>
      </c>
      <c r="F782" s="49">
        <f>F783+F784</f>
        <v>2075</v>
      </c>
      <c r="G782" s="39">
        <f>G783+G784</f>
        <v>2833</v>
      </c>
      <c r="H782" s="39">
        <f>H783+H784</f>
        <v>2833</v>
      </c>
    </row>
    <row r="783" spans="1:8" ht="38.25">
      <c r="A783" s="7" t="s">
        <v>494</v>
      </c>
      <c r="B783" s="8" t="s">
        <v>515</v>
      </c>
      <c r="C783" s="8" t="s">
        <v>110</v>
      </c>
      <c r="D783" s="8" t="s">
        <v>647</v>
      </c>
      <c r="E783" s="8" t="s">
        <v>495</v>
      </c>
      <c r="F783" s="49">
        <f>2683+14.5-450-273.1</f>
        <v>1974.4</v>
      </c>
      <c r="G783" s="39">
        <v>2683</v>
      </c>
      <c r="H783" s="39">
        <v>2683</v>
      </c>
    </row>
    <row r="784" spans="1:8" ht="33.75" customHeight="1">
      <c r="A784" s="7" t="s">
        <v>593</v>
      </c>
      <c r="B784" s="8" t="s">
        <v>515</v>
      </c>
      <c r="C784" s="8" t="s">
        <v>110</v>
      </c>
      <c r="D784" s="8" t="s">
        <v>647</v>
      </c>
      <c r="E784" s="8" t="s">
        <v>594</v>
      </c>
      <c r="F784" s="49">
        <f>150-49.4</f>
        <v>100.6</v>
      </c>
      <c r="G784" s="39">
        <v>150</v>
      </c>
      <c r="H784" s="39">
        <v>150</v>
      </c>
    </row>
    <row r="785" spans="1:8" ht="71.25" customHeight="1">
      <c r="A785" s="7" t="s">
        <v>648</v>
      </c>
      <c r="B785" s="8" t="s">
        <v>515</v>
      </c>
      <c r="C785" s="8" t="s">
        <v>110</v>
      </c>
      <c r="D785" s="8" t="s">
        <v>756</v>
      </c>
      <c r="E785" s="8" t="s">
        <v>98</v>
      </c>
      <c r="F785" s="49">
        <f aca="true" t="shared" si="41" ref="F785:H786">F786</f>
        <v>163463</v>
      </c>
      <c r="G785" s="39">
        <f t="shared" si="41"/>
        <v>158156</v>
      </c>
      <c r="H785" s="39">
        <f t="shared" si="41"/>
        <v>158156</v>
      </c>
    </row>
    <row r="786" spans="1:8" ht="76.5">
      <c r="A786" s="18" t="s">
        <v>654</v>
      </c>
      <c r="B786" s="13" t="s">
        <v>515</v>
      </c>
      <c r="C786" s="13" t="s">
        <v>110</v>
      </c>
      <c r="D786" s="13" t="s">
        <v>655</v>
      </c>
      <c r="E786" s="13" t="s">
        <v>98</v>
      </c>
      <c r="F786" s="48">
        <f t="shared" si="41"/>
        <v>163463</v>
      </c>
      <c r="G786" s="48">
        <f t="shared" si="41"/>
        <v>158156</v>
      </c>
      <c r="H786" s="48">
        <f t="shared" si="41"/>
        <v>158156</v>
      </c>
    </row>
    <row r="787" spans="1:8" ht="35.25" customHeight="1">
      <c r="A787" s="7" t="s">
        <v>537</v>
      </c>
      <c r="B787" s="8" t="s">
        <v>515</v>
      </c>
      <c r="C787" s="8" t="s">
        <v>110</v>
      </c>
      <c r="D787" s="8" t="s">
        <v>655</v>
      </c>
      <c r="E787" s="8" t="s">
        <v>538</v>
      </c>
      <c r="F787" s="49">
        <f>158156+5307</f>
        <v>163463</v>
      </c>
      <c r="G787" s="39">
        <v>158156</v>
      </c>
      <c r="H787" s="39">
        <v>158156</v>
      </c>
    </row>
    <row r="788" spans="1:8" ht="32.25" customHeight="1">
      <c r="A788" s="7" t="s">
        <v>769</v>
      </c>
      <c r="B788" s="8" t="s">
        <v>515</v>
      </c>
      <c r="C788" s="8" t="s">
        <v>110</v>
      </c>
      <c r="D788" s="8" t="s">
        <v>757</v>
      </c>
      <c r="E788" s="8" t="s">
        <v>98</v>
      </c>
      <c r="F788" s="49">
        <f aca="true" t="shared" si="42" ref="F788:H789">F789</f>
        <v>8.9</v>
      </c>
      <c r="G788" s="39">
        <f t="shared" si="42"/>
        <v>8.9</v>
      </c>
      <c r="H788" s="39">
        <f t="shared" si="42"/>
        <v>8.9</v>
      </c>
    </row>
    <row r="789" spans="1:8" ht="44.25" customHeight="1">
      <c r="A789" s="7" t="s">
        <v>770</v>
      </c>
      <c r="B789" s="8" t="s">
        <v>515</v>
      </c>
      <c r="C789" s="8" t="s">
        <v>110</v>
      </c>
      <c r="D789" s="8" t="s">
        <v>771</v>
      </c>
      <c r="E789" s="8" t="s">
        <v>98</v>
      </c>
      <c r="F789" s="49">
        <f t="shared" si="42"/>
        <v>8.9</v>
      </c>
      <c r="G789" s="39">
        <f t="shared" si="42"/>
        <v>8.9</v>
      </c>
      <c r="H789" s="39">
        <f t="shared" si="42"/>
        <v>8.9</v>
      </c>
    </row>
    <row r="790" spans="1:8" ht="38.25">
      <c r="A790" s="7" t="s">
        <v>494</v>
      </c>
      <c r="B790" s="8" t="s">
        <v>515</v>
      </c>
      <c r="C790" s="8" t="s">
        <v>110</v>
      </c>
      <c r="D790" s="8" t="s">
        <v>771</v>
      </c>
      <c r="E790" s="8" t="s">
        <v>495</v>
      </c>
      <c r="F790" s="49">
        <v>8.9</v>
      </c>
      <c r="G790" s="39">
        <v>8.9</v>
      </c>
      <c r="H790" s="39">
        <v>8.9</v>
      </c>
    </row>
    <row r="791" spans="1:8" ht="47.25" customHeight="1">
      <c r="A791" s="7" t="s">
        <v>772</v>
      </c>
      <c r="B791" s="8" t="s">
        <v>515</v>
      </c>
      <c r="C791" s="8" t="s">
        <v>110</v>
      </c>
      <c r="D791" s="8" t="s">
        <v>758</v>
      </c>
      <c r="E791" s="8" t="s">
        <v>98</v>
      </c>
      <c r="F791" s="49">
        <f aca="true" t="shared" si="43" ref="F791:H792">F792</f>
        <v>3442</v>
      </c>
      <c r="G791" s="39">
        <f t="shared" si="43"/>
        <v>3240</v>
      </c>
      <c r="H791" s="39">
        <f t="shared" si="43"/>
        <v>3240</v>
      </c>
    </row>
    <row r="792" spans="1:8" ht="33.75" customHeight="1">
      <c r="A792" s="7" t="s">
        <v>773</v>
      </c>
      <c r="B792" s="8" t="s">
        <v>515</v>
      </c>
      <c r="C792" s="8" t="s">
        <v>110</v>
      </c>
      <c r="D792" s="8" t="s">
        <v>774</v>
      </c>
      <c r="E792" s="8" t="s">
        <v>98</v>
      </c>
      <c r="F792" s="49">
        <f t="shared" si="43"/>
        <v>3442</v>
      </c>
      <c r="G792" s="39">
        <f t="shared" si="43"/>
        <v>3240</v>
      </c>
      <c r="H792" s="39">
        <f t="shared" si="43"/>
        <v>3240</v>
      </c>
    </row>
    <row r="793" spans="1:8" ht="38.25">
      <c r="A793" s="7" t="s">
        <v>494</v>
      </c>
      <c r="B793" s="8" t="s">
        <v>515</v>
      </c>
      <c r="C793" s="8" t="s">
        <v>110</v>
      </c>
      <c r="D793" s="8" t="s">
        <v>774</v>
      </c>
      <c r="E793" s="8" t="s">
        <v>495</v>
      </c>
      <c r="F793" s="49">
        <f>3240+202</f>
        <v>3442</v>
      </c>
      <c r="G793" s="39">
        <v>3240</v>
      </c>
      <c r="H793" s="39">
        <v>3240</v>
      </c>
    </row>
    <row r="794" spans="1:8" ht="65.25" customHeight="1">
      <c r="A794" s="7" t="s">
        <v>775</v>
      </c>
      <c r="B794" s="8" t="s">
        <v>515</v>
      </c>
      <c r="C794" s="8" t="s">
        <v>110</v>
      </c>
      <c r="D794" s="8" t="s">
        <v>759</v>
      </c>
      <c r="E794" s="8" t="s">
        <v>98</v>
      </c>
      <c r="F794" s="49">
        <f aca="true" t="shared" si="44" ref="F794:H795">F795</f>
        <v>66</v>
      </c>
      <c r="G794" s="39">
        <f t="shared" si="44"/>
        <v>57</v>
      </c>
      <c r="H794" s="39">
        <f t="shared" si="44"/>
        <v>57</v>
      </c>
    </row>
    <row r="795" spans="1:8" ht="61.5" customHeight="1">
      <c r="A795" s="18" t="s">
        <v>776</v>
      </c>
      <c r="B795" s="13" t="s">
        <v>515</v>
      </c>
      <c r="C795" s="13" t="s">
        <v>110</v>
      </c>
      <c r="D795" s="13" t="s">
        <v>777</v>
      </c>
      <c r="E795" s="13" t="s">
        <v>98</v>
      </c>
      <c r="F795" s="49">
        <f>F796+F797</f>
        <v>66</v>
      </c>
      <c r="G795" s="48">
        <f t="shared" si="44"/>
        <v>57</v>
      </c>
      <c r="H795" s="48">
        <f t="shared" si="44"/>
        <v>57</v>
      </c>
    </row>
    <row r="796" spans="1:8" ht="48.75" customHeight="1">
      <c r="A796" s="7" t="s">
        <v>157</v>
      </c>
      <c r="B796" s="8" t="s">
        <v>515</v>
      </c>
      <c r="C796" s="8" t="s">
        <v>110</v>
      </c>
      <c r="D796" s="8" t="s">
        <v>777</v>
      </c>
      <c r="E796" s="8" t="s">
        <v>158</v>
      </c>
      <c r="F796" s="49">
        <f>57+3-9</f>
        <v>51</v>
      </c>
      <c r="G796" s="39">
        <v>57</v>
      </c>
      <c r="H796" s="39">
        <v>57</v>
      </c>
    </row>
    <row r="797" spans="1:8" ht="84" customHeight="1">
      <c r="A797" s="7" t="s">
        <v>208</v>
      </c>
      <c r="B797" s="8" t="s">
        <v>515</v>
      </c>
      <c r="C797" s="8" t="s">
        <v>110</v>
      </c>
      <c r="D797" s="8" t="s">
        <v>777</v>
      </c>
      <c r="E797" s="8" t="s">
        <v>209</v>
      </c>
      <c r="F797" s="49">
        <v>15</v>
      </c>
      <c r="G797" s="39"/>
      <c r="H797" s="39"/>
    </row>
    <row r="798" spans="1:8" ht="87.75" customHeight="1">
      <c r="A798" s="7" t="s">
        <v>778</v>
      </c>
      <c r="B798" s="8" t="s">
        <v>515</v>
      </c>
      <c r="C798" s="8" t="s">
        <v>110</v>
      </c>
      <c r="D798" s="8" t="s">
        <v>760</v>
      </c>
      <c r="E798" s="8" t="s">
        <v>98</v>
      </c>
      <c r="F798" s="49">
        <f>F799+F801+F803</f>
        <v>1104</v>
      </c>
      <c r="G798" s="39">
        <f>G799+G801+G803</f>
        <v>1418</v>
      </c>
      <c r="H798" s="39">
        <f>H799+H801+H803</f>
        <v>1418</v>
      </c>
    </row>
    <row r="799" spans="1:8" ht="63.75">
      <c r="A799" s="7" t="s">
        <v>0</v>
      </c>
      <c r="B799" s="8" t="s">
        <v>515</v>
      </c>
      <c r="C799" s="8" t="s">
        <v>110</v>
      </c>
      <c r="D799" s="8" t="s">
        <v>1</v>
      </c>
      <c r="E799" s="8" t="s">
        <v>98</v>
      </c>
      <c r="F799" s="49">
        <f>F800</f>
        <v>830</v>
      </c>
      <c r="G799" s="39">
        <f>G800</f>
        <v>900</v>
      </c>
      <c r="H799" s="39">
        <f>H800</f>
        <v>900</v>
      </c>
    </row>
    <row r="800" spans="1:8" ht="48" customHeight="1">
      <c r="A800" s="7" t="s">
        <v>157</v>
      </c>
      <c r="B800" s="8" t="s">
        <v>515</v>
      </c>
      <c r="C800" s="8" t="s">
        <v>110</v>
      </c>
      <c r="D800" s="8" t="s">
        <v>1</v>
      </c>
      <c r="E800" s="8" t="s">
        <v>158</v>
      </c>
      <c r="F800" s="49">
        <f>900-70</f>
        <v>830</v>
      </c>
      <c r="G800" s="39">
        <v>900</v>
      </c>
      <c r="H800" s="39">
        <v>900</v>
      </c>
    </row>
    <row r="801" spans="1:8" ht="99" customHeight="1">
      <c r="A801" s="7" t="s">
        <v>163</v>
      </c>
      <c r="B801" s="8" t="s">
        <v>515</v>
      </c>
      <c r="C801" s="8" t="s">
        <v>110</v>
      </c>
      <c r="D801" s="8" t="s">
        <v>2</v>
      </c>
      <c r="E801" s="8" t="s">
        <v>98</v>
      </c>
      <c r="F801" s="49">
        <f>F802</f>
        <v>85</v>
      </c>
      <c r="G801" s="39">
        <f>G802</f>
        <v>63</v>
      </c>
      <c r="H801" s="39">
        <f>H802</f>
        <v>63</v>
      </c>
    </row>
    <row r="802" spans="1:8" ht="25.5">
      <c r="A802" s="7" t="s">
        <v>593</v>
      </c>
      <c r="B802" s="8" t="s">
        <v>515</v>
      </c>
      <c r="C802" s="8" t="s">
        <v>110</v>
      </c>
      <c r="D802" s="8" t="s">
        <v>2</v>
      </c>
      <c r="E802" s="8" t="s">
        <v>594</v>
      </c>
      <c r="F802" s="49">
        <f>63+100-78</f>
        <v>85</v>
      </c>
      <c r="G802" s="39">
        <v>63</v>
      </c>
      <c r="H802" s="39">
        <v>63</v>
      </c>
    </row>
    <row r="803" spans="1:8" ht="93" customHeight="1">
      <c r="A803" s="7" t="s">
        <v>3</v>
      </c>
      <c r="B803" s="8" t="s">
        <v>515</v>
      </c>
      <c r="C803" s="8" t="s">
        <v>110</v>
      </c>
      <c r="D803" s="8" t="s">
        <v>4</v>
      </c>
      <c r="E803" s="8" t="s">
        <v>98</v>
      </c>
      <c r="F803" s="49">
        <f>F804+F805</f>
        <v>188.99999999999997</v>
      </c>
      <c r="G803" s="39">
        <f>G804+G805</f>
        <v>455</v>
      </c>
      <c r="H803" s="39">
        <f>H804+H805</f>
        <v>455</v>
      </c>
    </row>
    <row r="804" spans="1:8" ht="44.25" customHeight="1">
      <c r="A804" s="7" t="s">
        <v>157</v>
      </c>
      <c r="B804" s="8" t="s">
        <v>515</v>
      </c>
      <c r="C804" s="8" t="s">
        <v>110</v>
      </c>
      <c r="D804" s="8" t="s">
        <v>4</v>
      </c>
      <c r="E804" s="8" t="s">
        <v>158</v>
      </c>
      <c r="F804" s="49">
        <f>50.6-29.6</f>
        <v>21</v>
      </c>
      <c r="G804" s="39">
        <v>50.6</v>
      </c>
      <c r="H804" s="39">
        <v>50.6</v>
      </c>
    </row>
    <row r="805" spans="1:8" ht="31.5" customHeight="1">
      <c r="A805" s="7" t="s">
        <v>593</v>
      </c>
      <c r="B805" s="8" t="s">
        <v>515</v>
      </c>
      <c r="C805" s="8" t="s">
        <v>110</v>
      </c>
      <c r="D805" s="8" t="s">
        <v>4</v>
      </c>
      <c r="E805" s="8" t="s">
        <v>594</v>
      </c>
      <c r="F805" s="49">
        <f>404.4-236.4</f>
        <v>167.99999999999997</v>
      </c>
      <c r="G805" s="39">
        <v>404.4</v>
      </c>
      <c r="H805" s="39">
        <v>404.4</v>
      </c>
    </row>
    <row r="806" spans="1:8" ht="38.25">
      <c r="A806" s="7" t="s">
        <v>5</v>
      </c>
      <c r="B806" s="8" t="s">
        <v>515</v>
      </c>
      <c r="C806" s="8" t="s">
        <v>110</v>
      </c>
      <c r="D806" s="8" t="s">
        <v>761</v>
      </c>
      <c r="E806" s="8" t="s">
        <v>98</v>
      </c>
      <c r="F806" s="49">
        <f>F807+F809</f>
        <v>139.1</v>
      </c>
      <c r="G806" s="39">
        <f>G807+G809</f>
        <v>169.1</v>
      </c>
      <c r="H806" s="39">
        <f>H807+H809</f>
        <v>169.1</v>
      </c>
    </row>
    <row r="807" spans="1:8" ht="63.75">
      <c r="A807" s="7" t="s">
        <v>6</v>
      </c>
      <c r="B807" s="8" t="s">
        <v>515</v>
      </c>
      <c r="C807" s="8" t="s">
        <v>110</v>
      </c>
      <c r="D807" s="8" t="s">
        <v>7</v>
      </c>
      <c r="E807" s="8" t="s">
        <v>98</v>
      </c>
      <c r="F807" s="49">
        <f>F808</f>
        <v>103</v>
      </c>
      <c r="G807" s="39">
        <f>G808</f>
        <v>133</v>
      </c>
      <c r="H807" s="39">
        <f>H808</f>
        <v>133</v>
      </c>
    </row>
    <row r="808" spans="1:8" ht="25.5">
      <c r="A808" s="7" t="s">
        <v>593</v>
      </c>
      <c r="B808" s="8" t="s">
        <v>515</v>
      </c>
      <c r="C808" s="8" t="s">
        <v>110</v>
      </c>
      <c r="D808" s="8" t="s">
        <v>7</v>
      </c>
      <c r="E808" s="8" t="s">
        <v>594</v>
      </c>
      <c r="F808" s="49">
        <f>133-30</f>
        <v>103</v>
      </c>
      <c r="G808" s="39">
        <v>133</v>
      </c>
      <c r="H808" s="39">
        <v>133</v>
      </c>
    </row>
    <row r="809" spans="1:8" ht="38.25">
      <c r="A809" s="7" t="s">
        <v>8</v>
      </c>
      <c r="B809" s="8" t="s">
        <v>515</v>
      </c>
      <c r="C809" s="8" t="s">
        <v>110</v>
      </c>
      <c r="D809" s="8" t="s">
        <v>9</v>
      </c>
      <c r="E809" s="8" t="s">
        <v>98</v>
      </c>
      <c r="F809" s="49">
        <f>F810</f>
        <v>36.1</v>
      </c>
      <c r="G809" s="39">
        <f>G810</f>
        <v>36.1</v>
      </c>
      <c r="H809" s="39">
        <f>H810</f>
        <v>36.1</v>
      </c>
    </row>
    <row r="810" spans="1:8" ht="45.75" customHeight="1">
      <c r="A810" s="7" t="s">
        <v>157</v>
      </c>
      <c r="B810" s="8" t="s">
        <v>515</v>
      </c>
      <c r="C810" s="8" t="s">
        <v>110</v>
      </c>
      <c r="D810" s="8" t="s">
        <v>9</v>
      </c>
      <c r="E810" s="8" t="s">
        <v>158</v>
      </c>
      <c r="F810" s="49">
        <v>36.1</v>
      </c>
      <c r="G810" s="39">
        <v>36.1</v>
      </c>
      <c r="H810" s="39">
        <v>36.1</v>
      </c>
    </row>
    <row r="811" spans="1:8" ht="54" customHeight="1">
      <c r="A811" s="7" t="s">
        <v>10</v>
      </c>
      <c r="B811" s="8" t="s">
        <v>515</v>
      </c>
      <c r="C811" s="8" t="s">
        <v>110</v>
      </c>
      <c r="D811" s="8" t="s">
        <v>762</v>
      </c>
      <c r="E811" s="8" t="s">
        <v>98</v>
      </c>
      <c r="F811" s="49">
        <f aca="true" t="shared" si="45" ref="F811:H812">F812</f>
        <v>1795</v>
      </c>
      <c r="G811" s="39">
        <f t="shared" si="45"/>
        <v>2195</v>
      </c>
      <c r="H811" s="39">
        <f t="shared" si="45"/>
        <v>2195</v>
      </c>
    </row>
    <row r="812" spans="1:8" ht="62.25" customHeight="1">
      <c r="A812" s="7" t="s">
        <v>11</v>
      </c>
      <c r="B812" s="8" t="s">
        <v>515</v>
      </c>
      <c r="C812" s="8" t="s">
        <v>110</v>
      </c>
      <c r="D812" s="8" t="s">
        <v>12</v>
      </c>
      <c r="E812" s="8" t="s">
        <v>98</v>
      </c>
      <c r="F812" s="49">
        <f t="shared" si="45"/>
        <v>1795</v>
      </c>
      <c r="G812" s="39">
        <f t="shared" si="45"/>
        <v>2195</v>
      </c>
      <c r="H812" s="39">
        <f t="shared" si="45"/>
        <v>2195</v>
      </c>
    </row>
    <row r="813" spans="1:8" ht="36.75" customHeight="1">
      <c r="A813" s="7" t="s">
        <v>537</v>
      </c>
      <c r="B813" s="8" t="s">
        <v>515</v>
      </c>
      <c r="C813" s="8" t="s">
        <v>110</v>
      </c>
      <c r="D813" s="8" t="s">
        <v>12</v>
      </c>
      <c r="E813" s="8" t="s">
        <v>538</v>
      </c>
      <c r="F813" s="49">
        <f>2195-400</f>
        <v>1795</v>
      </c>
      <c r="G813" s="39">
        <v>2195</v>
      </c>
      <c r="H813" s="39">
        <v>2195</v>
      </c>
    </row>
    <row r="814" spans="1:8" ht="83.25" customHeight="1">
      <c r="A814" s="7" t="s">
        <v>13</v>
      </c>
      <c r="B814" s="8" t="s">
        <v>515</v>
      </c>
      <c r="C814" s="8" t="s">
        <v>110</v>
      </c>
      <c r="D814" s="8" t="s">
        <v>14</v>
      </c>
      <c r="E814" s="8" t="s">
        <v>98</v>
      </c>
      <c r="F814" s="49">
        <f>F815</f>
        <v>23090</v>
      </c>
      <c r="G814" s="39">
        <f>G815</f>
        <v>23592</v>
      </c>
      <c r="H814" s="39">
        <f>H815</f>
        <v>23592</v>
      </c>
    </row>
    <row r="815" spans="1:8" ht="31.5" customHeight="1">
      <c r="A815" s="7" t="s">
        <v>537</v>
      </c>
      <c r="B815" s="8" t="s">
        <v>515</v>
      </c>
      <c r="C815" s="8" t="s">
        <v>110</v>
      </c>
      <c r="D815" s="8" t="s">
        <v>14</v>
      </c>
      <c r="E815" s="8" t="s">
        <v>538</v>
      </c>
      <c r="F815" s="49">
        <f>23592-502</f>
        <v>23090</v>
      </c>
      <c r="G815" s="39">
        <v>23592</v>
      </c>
      <c r="H815" s="39">
        <v>23592</v>
      </c>
    </row>
    <row r="816" spans="1:8" ht="51">
      <c r="A816" s="7" t="s">
        <v>15</v>
      </c>
      <c r="B816" s="8" t="s">
        <v>515</v>
      </c>
      <c r="C816" s="8" t="s">
        <v>110</v>
      </c>
      <c r="D816" s="8" t="s">
        <v>763</v>
      </c>
      <c r="E816" s="8" t="s">
        <v>98</v>
      </c>
      <c r="F816" s="49">
        <f aca="true" t="shared" si="46" ref="F816:H817">F817</f>
        <v>80</v>
      </c>
      <c r="G816" s="39">
        <f t="shared" si="46"/>
        <v>87.8</v>
      </c>
      <c r="H816" s="39">
        <f t="shared" si="46"/>
        <v>87.8</v>
      </c>
    </row>
    <row r="817" spans="1:8" ht="51" customHeight="1">
      <c r="A817" s="7" t="s">
        <v>16</v>
      </c>
      <c r="B817" s="8" t="s">
        <v>515</v>
      </c>
      <c r="C817" s="8" t="s">
        <v>110</v>
      </c>
      <c r="D817" s="8" t="s">
        <v>17</v>
      </c>
      <c r="E817" s="8" t="s">
        <v>98</v>
      </c>
      <c r="F817" s="49">
        <f t="shared" si="46"/>
        <v>80</v>
      </c>
      <c r="G817" s="39">
        <f t="shared" si="46"/>
        <v>87.8</v>
      </c>
      <c r="H817" s="39">
        <f t="shared" si="46"/>
        <v>87.8</v>
      </c>
    </row>
    <row r="818" spans="1:8" ht="42" customHeight="1">
      <c r="A818" s="7" t="s">
        <v>494</v>
      </c>
      <c r="B818" s="8" t="s">
        <v>515</v>
      </c>
      <c r="C818" s="8" t="s">
        <v>110</v>
      </c>
      <c r="D818" s="8" t="s">
        <v>17</v>
      </c>
      <c r="E818" s="8" t="s">
        <v>495</v>
      </c>
      <c r="F818" s="49">
        <f>87.8-7.8</f>
        <v>80</v>
      </c>
      <c r="G818" s="39">
        <v>87.8</v>
      </c>
      <c r="H818" s="39">
        <v>87.8</v>
      </c>
    </row>
    <row r="819" spans="1:8" ht="30" customHeight="1">
      <c r="A819" s="7" t="s">
        <v>173</v>
      </c>
      <c r="B819" s="8" t="s">
        <v>515</v>
      </c>
      <c r="C819" s="8" t="s">
        <v>110</v>
      </c>
      <c r="D819" s="8" t="s">
        <v>423</v>
      </c>
      <c r="E819" s="8"/>
      <c r="F819" s="49">
        <f>F820</f>
        <v>3204.2</v>
      </c>
      <c r="G819" s="39"/>
      <c r="H819" s="39"/>
    </row>
    <row r="820" spans="1:8" ht="31.5" customHeight="1">
      <c r="A820" s="18" t="s">
        <v>174</v>
      </c>
      <c r="B820" s="8" t="s">
        <v>515</v>
      </c>
      <c r="C820" s="8" t="s">
        <v>110</v>
      </c>
      <c r="D820" s="8" t="s">
        <v>422</v>
      </c>
      <c r="E820" s="8"/>
      <c r="F820" s="49">
        <f>F821+F822+F823</f>
        <v>3204.2</v>
      </c>
      <c r="G820" s="39"/>
      <c r="H820" s="39"/>
    </row>
    <row r="821" spans="1:8" ht="30" customHeight="1">
      <c r="A821" s="18" t="s">
        <v>593</v>
      </c>
      <c r="B821" s="8" t="s">
        <v>515</v>
      </c>
      <c r="C821" s="8" t="s">
        <v>110</v>
      </c>
      <c r="D821" s="8" t="s">
        <v>421</v>
      </c>
      <c r="E821" s="8" t="s">
        <v>594</v>
      </c>
      <c r="F821" s="49">
        <f>66.3</f>
        <v>66.3</v>
      </c>
      <c r="G821" s="39"/>
      <c r="H821" s="39"/>
    </row>
    <row r="822" spans="1:8" ht="17.25" customHeight="1">
      <c r="A822" s="18" t="s">
        <v>543</v>
      </c>
      <c r="B822" s="8" t="s">
        <v>515</v>
      </c>
      <c r="C822" s="8" t="s">
        <v>110</v>
      </c>
      <c r="D822" s="8" t="s">
        <v>421</v>
      </c>
      <c r="E822" s="8" t="s">
        <v>542</v>
      </c>
      <c r="F822" s="49">
        <v>1172.4</v>
      </c>
      <c r="G822" s="39"/>
      <c r="H822" s="39"/>
    </row>
    <row r="823" spans="1:8" ht="20.25" customHeight="1">
      <c r="A823" s="18" t="s">
        <v>143</v>
      </c>
      <c r="B823" s="8" t="s">
        <v>515</v>
      </c>
      <c r="C823" s="8" t="s">
        <v>110</v>
      </c>
      <c r="D823" s="8" t="s">
        <v>421</v>
      </c>
      <c r="E823" s="8" t="s">
        <v>144</v>
      </c>
      <c r="F823" s="49">
        <v>1965.5</v>
      </c>
      <c r="G823" s="39"/>
      <c r="H823" s="39"/>
    </row>
    <row r="824" spans="1:8" ht="22.5" customHeight="1">
      <c r="A824" s="37" t="s">
        <v>328</v>
      </c>
      <c r="B824" s="8" t="s">
        <v>515</v>
      </c>
      <c r="C824" s="8" t="s">
        <v>110</v>
      </c>
      <c r="D824" s="8" t="s">
        <v>25</v>
      </c>
      <c r="E824" s="8"/>
      <c r="F824" s="49">
        <f>F825</f>
        <v>487.59</v>
      </c>
      <c r="G824" s="39"/>
      <c r="H824" s="39"/>
    </row>
    <row r="825" spans="1:8" ht="30" customHeight="1">
      <c r="A825" s="37" t="s">
        <v>329</v>
      </c>
      <c r="B825" s="8" t="s">
        <v>515</v>
      </c>
      <c r="C825" s="8" t="s">
        <v>110</v>
      </c>
      <c r="D825" s="8" t="s">
        <v>330</v>
      </c>
      <c r="E825" s="8"/>
      <c r="F825" s="49">
        <f>F826</f>
        <v>487.59</v>
      </c>
      <c r="G825" s="39"/>
      <c r="H825" s="39"/>
    </row>
    <row r="826" spans="1:8" ht="43.5" customHeight="1">
      <c r="A826" s="37" t="s">
        <v>157</v>
      </c>
      <c r="B826" s="8" t="s">
        <v>515</v>
      </c>
      <c r="C826" s="8" t="s">
        <v>110</v>
      </c>
      <c r="D826" s="8" t="s">
        <v>330</v>
      </c>
      <c r="E826" s="8" t="s">
        <v>158</v>
      </c>
      <c r="F826" s="49">
        <v>487.59</v>
      </c>
      <c r="G826" s="39"/>
      <c r="H826" s="39"/>
    </row>
    <row r="827" spans="1:8" ht="20.25" customHeight="1">
      <c r="A827" s="7" t="s">
        <v>673</v>
      </c>
      <c r="B827" s="8" t="s">
        <v>515</v>
      </c>
      <c r="C827" s="8" t="s">
        <v>110</v>
      </c>
      <c r="D827" s="8" t="s">
        <v>672</v>
      </c>
      <c r="E827" s="8" t="s">
        <v>98</v>
      </c>
      <c r="F827" s="49">
        <f>F828+F830</f>
        <v>500</v>
      </c>
      <c r="G827" s="39">
        <f>G828+G830</f>
        <v>3224</v>
      </c>
      <c r="H827" s="39">
        <f>H828+H830</f>
        <v>3224</v>
      </c>
    </row>
    <row r="828" spans="1:8" ht="30.75" customHeight="1">
      <c r="A828" s="37" t="s">
        <v>18</v>
      </c>
      <c r="B828" s="38" t="s">
        <v>515</v>
      </c>
      <c r="C828" s="38" t="s">
        <v>110</v>
      </c>
      <c r="D828" s="38" t="s">
        <v>19</v>
      </c>
      <c r="E828" s="38" t="s">
        <v>98</v>
      </c>
      <c r="F828" s="49">
        <f>F829</f>
        <v>500</v>
      </c>
      <c r="G828" s="49">
        <f>G829</f>
        <v>500</v>
      </c>
      <c r="H828" s="49">
        <f>H829</f>
        <v>500</v>
      </c>
    </row>
    <row r="829" spans="1:8" ht="31.5" customHeight="1">
      <c r="A829" s="7" t="s">
        <v>557</v>
      </c>
      <c r="B829" s="8" t="s">
        <v>515</v>
      </c>
      <c r="C829" s="8" t="s">
        <v>110</v>
      </c>
      <c r="D829" s="8" t="s">
        <v>19</v>
      </c>
      <c r="E829" s="8" t="s">
        <v>558</v>
      </c>
      <c r="F829" s="49">
        <v>500</v>
      </c>
      <c r="G829" s="39">
        <v>500</v>
      </c>
      <c r="H829" s="39">
        <v>500</v>
      </c>
    </row>
    <row r="830" spans="1:8" ht="33" customHeight="1">
      <c r="A830" s="7" t="s">
        <v>475</v>
      </c>
      <c r="B830" s="8" t="s">
        <v>515</v>
      </c>
      <c r="C830" s="8" t="s">
        <v>110</v>
      </c>
      <c r="D830" s="8" t="s">
        <v>716</v>
      </c>
      <c r="E830" s="8" t="s">
        <v>98</v>
      </c>
      <c r="F830" s="49">
        <f>F831</f>
        <v>0</v>
      </c>
      <c r="G830" s="39">
        <f>G831</f>
        <v>2724</v>
      </c>
      <c r="H830" s="39">
        <f>H831</f>
        <v>2724</v>
      </c>
    </row>
    <row r="831" spans="1:8" ht="38.25">
      <c r="A831" s="7" t="s">
        <v>115</v>
      </c>
      <c r="B831" s="8" t="s">
        <v>515</v>
      </c>
      <c r="C831" s="8" t="s">
        <v>110</v>
      </c>
      <c r="D831" s="8" t="s">
        <v>716</v>
      </c>
      <c r="E831" s="8" t="s">
        <v>116</v>
      </c>
      <c r="F831" s="49">
        <f>2724-2724</f>
        <v>0</v>
      </c>
      <c r="G831" s="39">
        <v>2724</v>
      </c>
      <c r="H831" s="39">
        <v>2724</v>
      </c>
    </row>
    <row r="832" spans="1:8" ht="19.5" customHeight="1">
      <c r="A832" s="7" t="s">
        <v>20</v>
      </c>
      <c r="B832" s="8" t="s">
        <v>515</v>
      </c>
      <c r="C832" s="8" t="s">
        <v>123</v>
      </c>
      <c r="D832" s="8" t="s">
        <v>99</v>
      </c>
      <c r="E832" s="8" t="s">
        <v>98</v>
      </c>
      <c r="F832" s="49">
        <f>F833+F841+F845+F837+F839</f>
        <v>71358</v>
      </c>
      <c r="G832" s="39">
        <f>G833+G841+G845</f>
        <v>48452</v>
      </c>
      <c r="H832" s="39">
        <f>H833+H841+H845</f>
        <v>48502</v>
      </c>
    </row>
    <row r="833" spans="1:8" ht="19.5" customHeight="1">
      <c r="A833" s="7" t="s">
        <v>488</v>
      </c>
      <c r="B833" s="8" t="s">
        <v>515</v>
      </c>
      <c r="C833" s="8" t="s">
        <v>123</v>
      </c>
      <c r="D833" s="8" t="s">
        <v>731</v>
      </c>
      <c r="E833" s="8" t="s">
        <v>98</v>
      </c>
      <c r="F833" s="49">
        <f>F834</f>
        <v>960</v>
      </c>
      <c r="G833" s="39">
        <f aca="true" t="shared" si="47" ref="G833:H835">G834</f>
        <v>710</v>
      </c>
      <c r="H833" s="39">
        <f t="shared" si="47"/>
        <v>760</v>
      </c>
    </row>
    <row r="834" spans="1:8" ht="45" customHeight="1">
      <c r="A834" s="7" t="s">
        <v>21</v>
      </c>
      <c r="B834" s="8" t="s">
        <v>515</v>
      </c>
      <c r="C834" s="8" t="s">
        <v>123</v>
      </c>
      <c r="D834" s="8" t="s">
        <v>764</v>
      </c>
      <c r="E834" s="8" t="s">
        <v>98</v>
      </c>
      <c r="F834" s="49">
        <f>F835</f>
        <v>960</v>
      </c>
      <c r="G834" s="39">
        <f t="shared" si="47"/>
        <v>710</v>
      </c>
      <c r="H834" s="39">
        <f t="shared" si="47"/>
        <v>760</v>
      </c>
    </row>
    <row r="835" spans="1:8" ht="55.5" customHeight="1">
      <c r="A835" s="7" t="s">
        <v>22</v>
      </c>
      <c r="B835" s="8" t="s">
        <v>515</v>
      </c>
      <c r="C835" s="8" t="s">
        <v>123</v>
      </c>
      <c r="D835" s="8" t="s">
        <v>23</v>
      </c>
      <c r="E835" s="8" t="s">
        <v>98</v>
      </c>
      <c r="F835" s="49">
        <f>F836</f>
        <v>960</v>
      </c>
      <c r="G835" s="39">
        <f t="shared" si="47"/>
        <v>710</v>
      </c>
      <c r="H835" s="39">
        <f t="shared" si="47"/>
        <v>760</v>
      </c>
    </row>
    <row r="836" spans="1:8" ht="41.25" customHeight="1">
      <c r="A836" s="37" t="s">
        <v>494</v>
      </c>
      <c r="B836" s="38" t="s">
        <v>515</v>
      </c>
      <c r="C836" s="38" t="s">
        <v>123</v>
      </c>
      <c r="D836" s="38" t="s">
        <v>23</v>
      </c>
      <c r="E836" s="38" t="s">
        <v>495</v>
      </c>
      <c r="F836" s="49">
        <f>660+300</f>
        <v>960</v>
      </c>
      <c r="G836" s="39">
        <v>710</v>
      </c>
      <c r="H836" s="39">
        <v>760</v>
      </c>
    </row>
    <row r="837" spans="1:8" ht="84" customHeight="1">
      <c r="A837" s="37" t="s">
        <v>601</v>
      </c>
      <c r="B837" s="38" t="s">
        <v>515</v>
      </c>
      <c r="C837" s="38" t="s">
        <v>123</v>
      </c>
      <c r="D837" s="38" t="s">
        <v>651</v>
      </c>
      <c r="E837" s="38"/>
      <c r="F837" s="49">
        <f>F838</f>
        <v>5000</v>
      </c>
      <c r="G837" s="49"/>
      <c r="H837" s="49"/>
    </row>
    <row r="838" spans="1:8" ht="42" customHeight="1">
      <c r="A838" s="37" t="s">
        <v>157</v>
      </c>
      <c r="B838" s="38" t="s">
        <v>515</v>
      </c>
      <c r="C838" s="38" t="s">
        <v>123</v>
      </c>
      <c r="D838" s="38" t="s">
        <v>651</v>
      </c>
      <c r="E838" s="38" t="s">
        <v>158</v>
      </c>
      <c r="F838" s="49">
        <v>5000</v>
      </c>
      <c r="G838" s="49"/>
      <c r="H838" s="49"/>
    </row>
    <row r="839" spans="1:8" ht="83.25" customHeight="1">
      <c r="A839" s="37" t="s">
        <v>601</v>
      </c>
      <c r="B839" s="38" t="s">
        <v>515</v>
      </c>
      <c r="C839" s="38" t="s">
        <v>123</v>
      </c>
      <c r="D839" s="38" t="s">
        <v>653</v>
      </c>
      <c r="E839" s="38"/>
      <c r="F839" s="49">
        <f>F840</f>
        <v>14000</v>
      </c>
      <c r="G839" s="49"/>
      <c r="H839" s="49"/>
    </row>
    <row r="840" spans="1:8" ht="39" customHeight="1">
      <c r="A840" s="37" t="s">
        <v>157</v>
      </c>
      <c r="B840" s="38" t="s">
        <v>515</v>
      </c>
      <c r="C840" s="38" t="s">
        <v>123</v>
      </c>
      <c r="D840" s="38" t="s">
        <v>653</v>
      </c>
      <c r="E840" s="38" t="s">
        <v>158</v>
      </c>
      <c r="F840" s="49">
        <v>14000</v>
      </c>
      <c r="G840" s="39"/>
      <c r="H840" s="39"/>
    </row>
    <row r="841" spans="1:8" ht="48" customHeight="1">
      <c r="A841" s="37" t="s">
        <v>24</v>
      </c>
      <c r="B841" s="38" t="s">
        <v>515</v>
      </c>
      <c r="C841" s="38" t="s">
        <v>123</v>
      </c>
      <c r="D841" s="38" t="s">
        <v>765</v>
      </c>
      <c r="E841" s="38" t="s">
        <v>98</v>
      </c>
      <c r="F841" s="49">
        <f aca="true" t="shared" si="48" ref="F841:H843">F842</f>
        <v>0</v>
      </c>
      <c r="G841" s="39">
        <f t="shared" si="48"/>
        <v>5</v>
      </c>
      <c r="H841" s="39">
        <f t="shared" si="48"/>
        <v>5</v>
      </c>
    </row>
    <row r="842" spans="1:8" ht="82.5" customHeight="1">
      <c r="A842" s="37" t="s">
        <v>27</v>
      </c>
      <c r="B842" s="38" t="s">
        <v>515</v>
      </c>
      <c r="C842" s="38" t="s">
        <v>123</v>
      </c>
      <c r="D842" s="38" t="s">
        <v>28</v>
      </c>
      <c r="E842" s="38" t="s">
        <v>98</v>
      </c>
      <c r="F842" s="49">
        <f t="shared" si="48"/>
        <v>0</v>
      </c>
      <c r="G842" s="39">
        <f t="shared" si="48"/>
        <v>5</v>
      </c>
      <c r="H842" s="39">
        <f t="shared" si="48"/>
        <v>5</v>
      </c>
    </row>
    <row r="843" spans="1:8" ht="81.75" customHeight="1">
      <c r="A843" s="7" t="s">
        <v>27</v>
      </c>
      <c r="B843" s="8" t="s">
        <v>515</v>
      </c>
      <c r="C843" s="8" t="s">
        <v>123</v>
      </c>
      <c r="D843" s="8" t="s">
        <v>28</v>
      </c>
      <c r="E843" s="8" t="s">
        <v>98</v>
      </c>
      <c r="F843" s="49">
        <f t="shared" si="48"/>
        <v>0</v>
      </c>
      <c r="G843" s="39">
        <f t="shared" si="48"/>
        <v>5</v>
      </c>
      <c r="H843" s="39">
        <f t="shared" si="48"/>
        <v>5</v>
      </c>
    </row>
    <row r="844" spans="1:8" ht="33" customHeight="1">
      <c r="A844" s="7" t="s">
        <v>593</v>
      </c>
      <c r="B844" s="8" t="s">
        <v>515</v>
      </c>
      <c r="C844" s="8" t="s">
        <v>123</v>
      </c>
      <c r="D844" s="8" t="s">
        <v>28</v>
      </c>
      <c r="E844" s="8" t="s">
        <v>594</v>
      </c>
      <c r="F844" s="49">
        <f>5-5</f>
        <v>0</v>
      </c>
      <c r="G844" s="39">
        <v>5</v>
      </c>
      <c r="H844" s="39">
        <v>5</v>
      </c>
    </row>
    <row r="845" spans="1:8" ht="31.5" customHeight="1">
      <c r="A845" s="7" t="s">
        <v>199</v>
      </c>
      <c r="B845" s="8" t="s">
        <v>515</v>
      </c>
      <c r="C845" s="8" t="s">
        <v>123</v>
      </c>
      <c r="D845" s="8" t="s">
        <v>674</v>
      </c>
      <c r="E845" s="8" t="s">
        <v>98</v>
      </c>
      <c r="F845" s="49">
        <f>F846+F848</f>
        <v>51398</v>
      </c>
      <c r="G845" s="39">
        <f>G846+G848</f>
        <v>47737</v>
      </c>
      <c r="H845" s="39">
        <f>H846+H848</f>
        <v>47737</v>
      </c>
    </row>
    <row r="846" spans="1:8" ht="97.5" customHeight="1">
      <c r="A846" s="7" t="s">
        <v>29</v>
      </c>
      <c r="B846" s="8" t="s">
        <v>515</v>
      </c>
      <c r="C846" s="8" t="s">
        <v>123</v>
      </c>
      <c r="D846" s="8" t="s">
        <v>30</v>
      </c>
      <c r="E846" s="8" t="s">
        <v>98</v>
      </c>
      <c r="F846" s="49">
        <f>F847</f>
        <v>21517</v>
      </c>
      <c r="G846" s="39">
        <f>G847</f>
        <v>17510</v>
      </c>
      <c r="H846" s="39">
        <f>H847</f>
        <v>17510</v>
      </c>
    </row>
    <row r="847" spans="1:8" ht="25.5">
      <c r="A847" s="7" t="s">
        <v>537</v>
      </c>
      <c r="B847" s="8" t="s">
        <v>515</v>
      </c>
      <c r="C847" s="8" t="s">
        <v>123</v>
      </c>
      <c r="D847" s="8" t="s">
        <v>30</v>
      </c>
      <c r="E847" s="8" t="s">
        <v>538</v>
      </c>
      <c r="F847" s="49">
        <f>17510+3000+1990-983</f>
        <v>21517</v>
      </c>
      <c r="G847" s="39">
        <v>17510</v>
      </c>
      <c r="H847" s="39">
        <v>17510</v>
      </c>
    </row>
    <row r="848" spans="1:8" ht="45" customHeight="1">
      <c r="A848" s="7" t="s">
        <v>31</v>
      </c>
      <c r="B848" s="8" t="s">
        <v>515</v>
      </c>
      <c r="C848" s="8" t="s">
        <v>123</v>
      </c>
      <c r="D848" s="8" t="s">
        <v>766</v>
      </c>
      <c r="E848" s="8" t="s">
        <v>98</v>
      </c>
      <c r="F848" s="49">
        <f>F849+F851+F853</f>
        <v>29881</v>
      </c>
      <c r="G848" s="39">
        <f>G849+G851+G853</f>
        <v>30227</v>
      </c>
      <c r="H848" s="39">
        <f>H849+H851+H853</f>
        <v>30227</v>
      </c>
    </row>
    <row r="849" spans="1:8" ht="45.75" customHeight="1">
      <c r="A849" s="7" t="s">
        <v>32</v>
      </c>
      <c r="B849" s="8" t="s">
        <v>515</v>
      </c>
      <c r="C849" s="8" t="s">
        <v>123</v>
      </c>
      <c r="D849" s="8" t="s">
        <v>33</v>
      </c>
      <c r="E849" s="8" t="s">
        <v>98</v>
      </c>
      <c r="F849" s="49">
        <f>F850</f>
        <v>4440</v>
      </c>
      <c r="G849" s="39">
        <f>G850</f>
        <v>3854</v>
      </c>
      <c r="H849" s="39">
        <f>H850</f>
        <v>3854</v>
      </c>
    </row>
    <row r="850" spans="1:8" ht="36.75" customHeight="1">
      <c r="A850" s="7" t="s">
        <v>537</v>
      </c>
      <c r="B850" s="8" t="s">
        <v>515</v>
      </c>
      <c r="C850" s="8" t="s">
        <v>123</v>
      </c>
      <c r="D850" s="8" t="s">
        <v>33</v>
      </c>
      <c r="E850" s="8" t="s">
        <v>538</v>
      </c>
      <c r="F850" s="49">
        <f>3854+741-200+52-7</f>
        <v>4440</v>
      </c>
      <c r="G850" s="39">
        <v>3854</v>
      </c>
      <c r="H850" s="39">
        <v>3854</v>
      </c>
    </row>
    <row r="851" spans="1:8" ht="42" customHeight="1">
      <c r="A851" s="7" t="s">
        <v>34</v>
      </c>
      <c r="B851" s="8" t="s">
        <v>515</v>
      </c>
      <c r="C851" s="8" t="s">
        <v>123</v>
      </c>
      <c r="D851" s="8" t="s">
        <v>35</v>
      </c>
      <c r="E851" s="8" t="s">
        <v>98</v>
      </c>
      <c r="F851" s="49">
        <f>F852</f>
        <v>4279</v>
      </c>
      <c r="G851" s="39">
        <f>G852</f>
        <v>4713</v>
      </c>
      <c r="H851" s="39">
        <f>H852</f>
        <v>4713</v>
      </c>
    </row>
    <row r="852" spans="1:8" ht="32.25" customHeight="1">
      <c r="A852" s="7" t="s">
        <v>36</v>
      </c>
      <c r="B852" s="8" t="s">
        <v>515</v>
      </c>
      <c r="C852" s="8" t="s">
        <v>123</v>
      </c>
      <c r="D852" s="8" t="s">
        <v>35</v>
      </c>
      <c r="E852" s="8" t="s">
        <v>37</v>
      </c>
      <c r="F852" s="49">
        <f>4713-400-84+50</f>
        <v>4279</v>
      </c>
      <c r="G852" s="39">
        <v>4713</v>
      </c>
      <c r="H852" s="39">
        <v>4713</v>
      </c>
    </row>
    <row r="853" spans="1:8" ht="48.75" customHeight="1">
      <c r="A853" s="7" t="s">
        <v>38</v>
      </c>
      <c r="B853" s="8" t="s">
        <v>515</v>
      </c>
      <c r="C853" s="8" t="s">
        <v>123</v>
      </c>
      <c r="D853" s="8" t="s">
        <v>39</v>
      </c>
      <c r="E853" s="8" t="s">
        <v>98</v>
      </c>
      <c r="F853" s="49">
        <f>F854</f>
        <v>21162</v>
      </c>
      <c r="G853" s="39">
        <f>G854</f>
        <v>21660</v>
      </c>
      <c r="H853" s="39">
        <f>H854</f>
        <v>21660</v>
      </c>
    </row>
    <row r="854" spans="1:8" ht="33" customHeight="1">
      <c r="A854" s="7" t="s">
        <v>537</v>
      </c>
      <c r="B854" s="8" t="s">
        <v>515</v>
      </c>
      <c r="C854" s="8" t="s">
        <v>123</v>
      </c>
      <c r="D854" s="8" t="s">
        <v>39</v>
      </c>
      <c r="E854" s="8" t="s">
        <v>538</v>
      </c>
      <c r="F854" s="49">
        <f>21660+1207-1600+9-114</f>
        <v>21162</v>
      </c>
      <c r="G854" s="39">
        <v>21660</v>
      </c>
      <c r="H854" s="39">
        <v>21660</v>
      </c>
    </row>
    <row r="855" spans="1:8" ht="31.5" customHeight="1">
      <c r="A855" s="7" t="s">
        <v>40</v>
      </c>
      <c r="B855" s="8" t="s">
        <v>515</v>
      </c>
      <c r="C855" s="8" t="s">
        <v>41</v>
      </c>
      <c r="D855" s="8" t="s">
        <v>99</v>
      </c>
      <c r="E855" s="8" t="s">
        <v>98</v>
      </c>
      <c r="F855" s="49">
        <f>F856+F863</f>
        <v>31723.36</v>
      </c>
      <c r="G855" s="39">
        <f>G856+G863</f>
        <v>30139</v>
      </c>
      <c r="H855" s="39">
        <f>H856+H863</f>
        <v>30139</v>
      </c>
    </row>
    <row r="856" spans="1:8" ht="30.75" customHeight="1">
      <c r="A856" s="7" t="s">
        <v>105</v>
      </c>
      <c r="B856" s="8" t="s">
        <v>515</v>
      </c>
      <c r="C856" s="8" t="s">
        <v>41</v>
      </c>
      <c r="D856" s="8" t="s">
        <v>663</v>
      </c>
      <c r="E856" s="8" t="s">
        <v>98</v>
      </c>
      <c r="F856" s="49">
        <f>F857</f>
        <v>22811.96</v>
      </c>
      <c r="G856" s="39">
        <f>G857</f>
        <v>22331</v>
      </c>
      <c r="H856" s="39">
        <f>H857</f>
        <v>22331</v>
      </c>
    </row>
    <row r="857" spans="1:8" ht="55.5" customHeight="1">
      <c r="A857" s="7" t="s">
        <v>42</v>
      </c>
      <c r="B857" s="8" t="s">
        <v>515</v>
      </c>
      <c r="C857" s="8" t="s">
        <v>41</v>
      </c>
      <c r="D857" s="8" t="s">
        <v>43</v>
      </c>
      <c r="E857" s="8" t="s">
        <v>98</v>
      </c>
      <c r="F857" s="49">
        <f>F858+F859+F860+F861+F862</f>
        <v>22811.96</v>
      </c>
      <c r="G857" s="39">
        <f>G858+G859+G860</f>
        <v>22331</v>
      </c>
      <c r="H857" s="39">
        <f>H858+H859+H860</f>
        <v>22331</v>
      </c>
    </row>
    <row r="858" spans="1:8" ht="21" customHeight="1">
      <c r="A858" s="7" t="s">
        <v>107</v>
      </c>
      <c r="B858" s="8" t="s">
        <v>515</v>
      </c>
      <c r="C858" s="8" t="s">
        <v>41</v>
      </c>
      <c r="D858" s="8" t="s">
        <v>43</v>
      </c>
      <c r="E858" s="8" t="s">
        <v>108</v>
      </c>
      <c r="F858" s="49">
        <f>19698.98+236+135.9</f>
        <v>20070.88</v>
      </c>
      <c r="G858" s="39">
        <v>19484</v>
      </c>
      <c r="H858" s="39">
        <v>19484</v>
      </c>
    </row>
    <row r="859" spans="1:8" ht="35.25" customHeight="1">
      <c r="A859" s="7" t="s">
        <v>126</v>
      </c>
      <c r="B859" s="8" t="s">
        <v>515</v>
      </c>
      <c r="C859" s="8" t="s">
        <v>41</v>
      </c>
      <c r="D859" s="8" t="s">
        <v>43</v>
      </c>
      <c r="E859" s="8" t="s">
        <v>127</v>
      </c>
      <c r="F859" s="49">
        <f>10-8-0.4</f>
        <v>1.6</v>
      </c>
      <c r="G859" s="39">
        <v>10</v>
      </c>
      <c r="H859" s="39">
        <v>10</v>
      </c>
    </row>
    <row r="860" spans="1:8" ht="44.25" customHeight="1">
      <c r="A860" s="7" t="s">
        <v>119</v>
      </c>
      <c r="B860" s="8" t="s">
        <v>515</v>
      </c>
      <c r="C860" s="8" t="s">
        <v>41</v>
      </c>
      <c r="D860" s="8" t="s">
        <v>43</v>
      </c>
      <c r="E860" s="8" t="s">
        <v>120</v>
      </c>
      <c r="F860" s="49">
        <f>858.07-67.2-21.6+27.8+4.9</f>
        <v>801.9699999999999</v>
      </c>
      <c r="G860" s="39">
        <v>2837</v>
      </c>
      <c r="H860" s="39">
        <v>2837</v>
      </c>
    </row>
    <row r="861" spans="1:8" ht="44.25" customHeight="1">
      <c r="A861" s="7" t="s">
        <v>115</v>
      </c>
      <c r="B861" s="8" t="s">
        <v>515</v>
      </c>
      <c r="C861" s="8" t="s">
        <v>41</v>
      </c>
      <c r="D861" s="8" t="s">
        <v>43</v>
      </c>
      <c r="E861" s="8" t="s">
        <v>116</v>
      </c>
      <c r="F861" s="49">
        <f>1978.9+67.2+21.6+8-27.8-140.4</f>
        <v>1907.5000000000002</v>
      </c>
      <c r="G861" s="39"/>
      <c r="H861" s="39"/>
    </row>
    <row r="862" spans="1:8" ht="42.75" customHeight="1">
      <c r="A862" s="7" t="s">
        <v>157</v>
      </c>
      <c r="B862" s="8" t="s">
        <v>515</v>
      </c>
      <c r="C862" s="8" t="s">
        <v>41</v>
      </c>
      <c r="D862" s="8" t="s">
        <v>43</v>
      </c>
      <c r="E862" s="8" t="s">
        <v>158</v>
      </c>
      <c r="F862" s="49">
        <v>30.01</v>
      </c>
      <c r="G862" s="39"/>
      <c r="H862" s="39"/>
    </row>
    <row r="863" spans="1:8" ht="19.5" customHeight="1">
      <c r="A863" s="7" t="s">
        <v>673</v>
      </c>
      <c r="B863" s="8" t="s">
        <v>515</v>
      </c>
      <c r="C863" s="8" t="s">
        <v>41</v>
      </c>
      <c r="D863" s="8" t="s">
        <v>672</v>
      </c>
      <c r="E863" s="8" t="s">
        <v>98</v>
      </c>
      <c r="F863" s="49">
        <f>F864+F895</f>
        <v>8911.4</v>
      </c>
      <c r="G863" s="39">
        <f>G864+G895</f>
        <v>7807.999999999999</v>
      </c>
      <c r="H863" s="39">
        <f>H864+H895</f>
        <v>7807.999999999999</v>
      </c>
    </row>
    <row r="864" spans="1:8" ht="46.5" customHeight="1">
      <c r="A864" s="7" t="s">
        <v>767</v>
      </c>
      <c r="B864" s="8" t="s">
        <v>515</v>
      </c>
      <c r="C864" s="8" t="s">
        <v>41</v>
      </c>
      <c r="D864" s="8" t="s">
        <v>677</v>
      </c>
      <c r="E864" s="8"/>
      <c r="F864" s="49">
        <f>F865+F868+F874+F879+F884+F888+F890</f>
        <v>7911.4</v>
      </c>
      <c r="G864" s="39">
        <f>G865+G868+G874+G879+G884+G888+G890</f>
        <v>6807.999999999999</v>
      </c>
      <c r="H864" s="39">
        <f>H865+H868+H874+H879+H884+H888+H890</f>
        <v>6807.999999999999</v>
      </c>
    </row>
    <row r="865" spans="1:8" ht="59.25" customHeight="1">
      <c r="A865" s="7" t="s">
        <v>44</v>
      </c>
      <c r="B865" s="8" t="s">
        <v>515</v>
      </c>
      <c r="C865" s="8" t="s">
        <v>41</v>
      </c>
      <c r="D865" s="8" t="s">
        <v>47</v>
      </c>
      <c r="E865" s="8" t="s">
        <v>98</v>
      </c>
      <c r="F865" s="49">
        <f>F867+F866</f>
        <v>1738.5</v>
      </c>
      <c r="G865" s="39">
        <f>G867</f>
        <v>758.5</v>
      </c>
      <c r="H865" s="39">
        <f>H867</f>
        <v>758.5</v>
      </c>
    </row>
    <row r="866" spans="1:8" ht="86.25" customHeight="1">
      <c r="A866" s="7" t="s">
        <v>208</v>
      </c>
      <c r="B866" s="8" t="s">
        <v>515</v>
      </c>
      <c r="C866" s="8" t="s">
        <v>41</v>
      </c>
      <c r="D866" s="8" t="s">
        <v>168</v>
      </c>
      <c r="E866" s="8" t="s">
        <v>209</v>
      </c>
      <c r="F866" s="49">
        <f>758.5+239+290.3+315+83+52.7</f>
        <v>1738.5</v>
      </c>
      <c r="G866" s="39"/>
      <c r="H866" s="39"/>
    </row>
    <row r="867" spans="1:8" ht="33.75" customHeight="1">
      <c r="A867" s="7" t="s">
        <v>170</v>
      </c>
      <c r="B867" s="8" t="s">
        <v>515</v>
      </c>
      <c r="C867" s="8" t="s">
        <v>41</v>
      </c>
      <c r="D867" s="8" t="s">
        <v>47</v>
      </c>
      <c r="E867" s="8" t="s">
        <v>171</v>
      </c>
      <c r="F867" s="49">
        <f>758.5-758.5</f>
        <v>0</v>
      </c>
      <c r="G867" s="39">
        <v>758.5</v>
      </c>
      <c r="H867" s="39">
        <v>758.5</v>
      </c>
    </row>
    <row r="868" spans="1:8" ht="87" customHeight="1">
      <c r="A868" s="7" t="s">
        <v>48</v>
      </c>
      <c r="B868" s="8" t="s">
        <v>515</v>
      </c>
      <c r="C868" s="8" t="s">
        <v>41</v>
      </c>
      <c r="D868" s="8" t="s">
        <v>49</v>
      </c>
      <c r="E868" s="8" t="s">
        <v>98</v>
      </c>
      <c r="F868" s="49">
        <f>F870+F873+F872+F871+F869</f>
        <v>2210.6000000000004</v>
      </c>
      <c r="G868" s="39">
        <f>G870+G873</f>
        <v>1719.7</v>
      </c>
      <c r="H868" s="39">
        <f>H870+H873</f>
        <v>1719.7</v>
      </c>
    </row>
    <row r="869" spans="1:8" ht="46.5" customHeight="1">
      <c r="A869" s="7" t="s">
        <v>119</v>
      </c>
      <c r="B869" s="8" t="s">
        <v>515</v>
      </c>
      <c r="C869" s="8" t="s">
        <v>41</v>
      </c>
      <c r="D869" s="8" t="s">
        <v>49</v>
      </c>
      <c r="E869" s="8" t="s">
        <v>120</v>
      </c>
      <c r="F869" s="49">
        <f>22.1+0.9</f>
        <v>23</v>
      </c>
      <c r="G869" s="39"/>
      <c r="H869" s="39"/>
    </row>
    <row r="870" spans="1:8" ht="38.25">
      <c r="A870" s="7" t="s">
        <v>115</v>
      </c>
      <c r="B870" s="8" t="s">
        <v>515</v>
      </c>
      <c r="C870" s="8" t="s">
        <v>41</v>
      </c>
      <c r="D870" s="8" t="s">
        <v>49</v>
      </c>
      <c r="E870" s="8" t="s">
        <v>116</v>
      </c>
      <c r="F870" s="49">
        <f>520.5+209.7-27.2+85.9+243.3+24.1</f>
        <v>1056.3</v>
      </c>
      <c r="G870" s="39">
        <v>574.7</v>
      </c>
      <c r="H870" s="39">
        <v>574.7</v>
      </c>
    </row>
    <row r="871" spans="1:8" ht="45.75" customHeight="1">
      <c r="A871" s="7" t="s">
        <v>157</v>
      </c>
      <c r="B871" s="8" t="s">
        <v>515</v>
      </c>
      <c r="C871" s="8" t="s">
        <v>41</v>
      </c>
      <c r="D871" s="8" t="s">
        <v>49</v>
      </c>
      <c r="E871" s="8" t="s">
        <v>158</v>
      </c>
      <c r="F871" s="49">
        <f>12</f>
        <v>12</v>
      </c>
      <c r="G871" s="39"/>
      <c r="H871" s="39"/>
    </row>
    <row r="872" spans="1:8" ht="76.5">
      <c r="A872" s="7" t="s">
        <v>208</v>
      </c>
      <c r="B872" s="8" t="s">
        <v>515</v>
      </c>
      <c r="C872" s="8" t="s">
        <v>41</v>
      </c>
      <c r="D872" s="8" t="s">
        <v>169</v>
      </c>
      <c r="E872" s="8" t="s">
        <v>209</v>
      </c>
      <c r="F872" s="49">
        <f>1202.7+21.2+87.2-183.3-8.5</f>
        <v>1119.3000000000002</v>
      </c>
      <c r="G872" s="39"/>
      <c r="H872" s="39"/>
    </row>
    <row r="873" spans="1:8" ht="25.5">
      <c r="A873" s="7" t="s">
        <v>170</v>
      </c>
      <c r="B873" s="8" t="s">
        <v>515</v>
      </c>
      <c r="C873" s="8" t="s">
        <v>41</v>
      </c>
      <c r="D873" s="8" t="s">
        <v>49</v>
      </c>
      <c r="E873" s="8" t="s">
        <v>171</v>
      </c>
      <c r="F873" s="49">
        <f>902-902</f>
        <v>0</v>
      </c>
      <c r="G873" s="39">
        <v>1145</v>
      </c>
      <c r="H873" s="39">
        <v>1145</v>
      </c>
    </row>
    <row r="874" spans="1:8" ht="46.5" customHeight="1">
      <c r="A874" s="7" t="s">
        <v>50</v>
      </c>
      <c r="B874" s="8" t="s">
        <v>515</v>
      </c>
      <c r="C874" s="8" t="s">
        <v>41</v>
      </c>
      <c r="D874" s="8" t="s">
        <v>51</v>
      </c>
      <c r="E874" s="8" t="s">
        <v>98</v>
      </c>
      <c r="F874" s="49">
        <f>F876+F878+F877+F875</f>
        <v>1653.6999999999998</v>
      </c>
      <c r="G874" s="39">
        <f>G876+G878</f>
        <v>1961.8999999999999</v>
      </c>
      <c r="H874" s="39">
        <f>H876+H878</f>
        <v>1961.8999999999999</v>
      </c>
    </row>
    <row r="875" spans="1:8" ht="46.5" customHeight="1">
      <c r="A875" s="7" t="s">
        <v>119</v>
      </c>
      <c r="B875" s="8" t="s">
        <v>515</v>
      </c>
      <c r="C875" s="8" t="s">
        <v>41</v>
      </c>
      <c r="D875" s="8" t="s">
        <v>51</v>
      </c>
      <c r="E875" s="8" t="s">
        <v>120</v>
      </c>
      <c r="F875" s="49">
        <f>40</f>
        <v>40</v>
      </c>
      <c r="G875" s="39"/>
      <c r="H875" s="39"/>
    </row>
    <row r="876" spans="1:8" ht="38.25">
      <c r="A876" s="7" t="s">
        <v>115</v>
      </c>
      <c r="B876" s="8" t="s">
        <v>515</v>
      </c>
      <c r="C876" s="8" t="s">
        <v>41</v>
      </c>
      <c r="D876" s="8" t="s">
        <v>51</v>
      </c>
      <c r="E876" s="8" t="s">
        <v>116</v>
      </c>
      <c r="F876" s="49">
        <f>760.3-300-105.9-25.8+0.1+17.2</f>
        <v>345.9</v>
      </c>
      <c r="G876" s="39">
        <v>760.3</v>
      </c>
      <c r="H876" s="39">
        <v>760.3</v>
      </c>
    </row>
    <row r="877" spans="1:8" ht="76.5">
      <c r="A877" s="7" t="s">
        <v>208</v>
      </c>
      <c r="B877" s="8" t="s">
        <v>515</v>
      </c>
      <c r="C877" s="8" t="s">
        <v>41</v>
      </c>
      <c r="D877" s="8" t="s">
        <v>51</v>
      </c>
      <c r="E877" s="8" t="s">
        <v>209</v>
      </c>
      <c r="F877" s="49">
        <f>1401.6-25-86.6-22.2</f>
        <v>1267.8</v>
      </c>
      <c r="G877" s="39"/>
      <c r="H877" s="39"/>
    </row>
    <row r="878" spans="1:8" ht="32.25" customHeight="1">
      <c r="A878" s="7" t="s">
        <v>170</v>
      </c>
      <c r="B878" s="8" t="s">
        <v>515</v>
      </c>
      <c r="C878" s="8" t="s">
        <v>41</v>
      </c>
      <c r="D878" s="8" t="s">
        <v>51</v>
      </c>
      <c r="E878" s="8" t="s">
        <v>171</v>
      </c>
      <c r="F878" s="49">
        <f>1201.6-1201.6</f>
        <v>0</v>
      </c>
      <c r="G878" s="39">
        <v>1201.6</v>
      </c>
      <c r="H878" s="39">
        <v>1201.6</v>
      </c>
    </row>
    <row r="879" spans="1:8" ht="57" customHeight="1">
      <c r="A879" s="7" t="s">
        <v>52</v>
      </c>
      <c r="B879" s="8" t="s">
        <v>515</v>
      </c>
      <c r="C879" s="8" t="s">
        <v>41</v>
      </c>
      <c r="D879" s="8" t="s">
        <v>53</v>
      </c>
      <c r="E879" s="8" t="s">
        <v>98</v>
      </c>
      <c r="F879" s="49">
        <f>F880+F881+F882+F883</f>
        <v>109.3</v>
      </c>
      <c r="G879" s="39">
        <f>G880+G883</f>
        <v>134.4</v>
      </c>
      <c r="H879" s="39">
        <f>H880+H883</f>
        <v>134.4</v>
      </c>
    </row>
    <row r="880" spans="1:8" ht="42.75" customHeight="1">
      <c r="A880" s="7" t="s">
        <v>115</v>
      </c>
      <c r="B880" s="8" t="s">
        <v>515</v>
      </c>
      <c r="C880" s="8" t="s">
        <v>41</v>
      </c>
      <c r="D880" s="8" t="s">
        <v>53</v>
      </c>
      <c r="E880" s="8" t="s">
        <v>116</v>
      </c>
      <c r="F880" s="49">
        <f>50-50</f>
        <v>0</v>
      </c>
      <c r="G880" s="39">
        <v>50</v>
      </c>
      <c r="H880" s="39">
        <v>50</v>
      </c>
    </row>
    <row r="881" spans="1:8" ht="36" customHeight="1">
      <c r="A881" s="7" t="s">
        <v>593</v>
      </c>
      <c r="B881" s="8" t="s">
        <v>515</v>
      </c>
      <c r="C881" s="8" t="s">
        <v>41</v>
      </c>
      <c r="D881" s="8" t="s">
        <v>53</v>
      </c>
      <c r="E881" s="8" t="s">
        <v>594</v>
      </c>
      <c r="F881" s="49">
        <f>50</f>
        <v>50</v>
      </c>
      <c r="G881" s="39"/>
      <c r="H881" s="39"/>
    </row>
    <row r="882" spans="1:8" ht="62.25" customHeight="1">
      <c r="A882" s="7" t="s">
        <v>208</v>
      </c>
      <c r="B882" s="8" t="s">
        <v>515</v>
      </c>
      <c r="C882" s="8" t="s">
        <v>41</v>
      </c>
      <c r="D882" s="8" t="s">
        <v>53</v>
      </c>
      <c r="E882" s="8" t="s">
        <v>209</v>
      </c>
      <c r="F882" s="49">
        <f>61.4-2.1</f>
        <v>59.3</v>
      </c>
      <c r="G882" s="39"/>
      <c r="H882" s="39"/>
    </row>
    <row r="883" spans="1:8" ht="29.25" customHeight="1">
      <c r="A883" s="7" t="s">
        <v>170</v>
      </c>
      <c r="B883" s="8" t="s">
        <v>515</v>
      </c>
      <c r="C883" s="8" t="s">
        <v>41</v>
      </c>
      <c r="D883" s="8" t="s">
        <v>53</v>
      </c>
      <c r="E883" s="8" t="s">
        <v>171</v>
      </c>
      <c r="F883" s="49">
        <f>84.4-84.4</f>
        <v>0</v>
      </c>
      <c r="G883" s="39">
        <v>84.4</v>
      </c>
      <c r="H883" s="39">
        <v>84.4</v>
      </c>
    </row>
    <row r="884" spans="1:8" ht="74.25" customHeight="1">
      <c r="A884" s="7" t="s">
        <v>54</v>
      </c>
      <c r="B884" s="8" t="s">
        <v>515</v>
      </c>
      <c r="C884" s="8" t="s">
        <v>41</v>
      </c>
      <c r="D884" s="8" t="s">
        <v>55</v>
      </c>
      <c r="E884" s="8" t="s">
        <v>98</v>
      </c>
      <c r="F884" s="49">
        <f>F885+F887+F886</f>
        <v>513.7</v>
      </c>
      <c r="G884" s="39">
        <f>G885+G887</f>
        <v>555.9</v>
      </c>
      <c r="H884" s="39">
        <f>H885+H887</f>
        <v>555.9</v>
      </c>
    </row>
    <row r="885" spans="1:8" ht="42.75" customHeight="1">
      <c r="A885" s="7" t="s">
        <v>115</v>
      </c>
      <c r="B885" s="8" t="s">
        <v>515</v>
      </c>
      <c r="C885" s="8" t="s">
        <v>41</v>
      </c>
      <c r="D885" s="8" t="s">
        <v>55</v>
      </c>
      <c r="E885" s="8" t="s">
        <v>116</v>
      </c>
      <c r="F885" s="49">
        <f>438.6-39.3-31.6-1.9</f>
        <v>365.8</v>
      </c>
      <c r="G885" s="39">
        <v>438.6</v>
      </c>
      <c r="H885" s="39">
        <v>438.6</v>
      </c>
    </row>
    <row r="886" spans="1:8" ht="81" customHeight="1">
      <c r="A886" s="7" t="s">
        <v>208</v>
      </c>
      <c r="B886" s="8" t="s">
        <v>515</v>
      </c>
      <c r="C886" s="8" t="s">
        <v>41</v>
      </c>
      <c r="D886" s="8" t="s">
        <v>55</v>
      </c>
      <c r="E886" s="8" t="s">
        <v>209</v>
      </c>
      <c r="F886" s="49">
        <f>151.8-2-1.9</f>
        <v>147.9</v>
      </c>
      <c r="G886" s="39"/>
      <c r="H886" s="39"/>
    </row>
    <row r="887" spans="1:8" ht="37.5" customHeight="1">
      <c r="A887" s="7" t="s">
        <v>170</v>
      </c>
      <c r="B887" s="8" t="s">
        <v>515</v>
      </c>
      <c r="C887" s="8" t="s">
        <v>41</v>
      </c>
      <c r="D887" s="8" t="s">
        <v>55</v>
      </c>
      <c r="E887" s="8" t="s">
        <v>171</v>
      </c>
      <c r="F887" s="49">
        <f>117.3-117.3</f>
        <v>0</v>
      </c>
      <c r="G887" s="39">
        <v>117.3</v>
      </c>
      <c r="H887" s="39">
        <v>117.3</v>
      </c>
    </row>
    <row r="888" spans="1:8" ht="75" customHeight="1">
      <c r="A888" s="7" t="s">
        <v>56</v>
      </c>
      <c r="B888" s="8" t="s">
        <v>515</v>
      </c>
      <c r="C888" s="8" t="s">
        <v>41</v>
      </c>
      <c r="D888" s="8" t="s">
        <v>57</v>
      </c>
      <c r="E888" s="8" t="s">
        <v>98</v>
      </c>
      <c r="F888" s="49">
        <f>F889</f>
        <v>588.4</v>
      </c>
      <c r="G888" s="39">
        <f>G889</f>
        <v>526.6</v>
      </c>
      <c r="H888" s="39">
        <f>H889</f>
        <v>526.6</v>
      </c>
    </row>
    <row r="889" spans="1:8" ht="37.5" customHeight="1">
      <c r="A889" s="7" t="s">
        <v>115</v>
      </c>
      <c r="B889" s="8" t="s">
        <v>515</v>
      </c>
      <c r="C889" s="8" t="s">
        <v>41</v>
      </c>
      <c r="D889" s="8" t="s">
        <v>57</v>
      </c>
      <c r="E889" s="8" t="s">
        <v>116</v>
      </c>
      <c r="F889" s="49">
        <f>619.6-31.2</f>
        <v>588.4</v>
      </c>
      <c r="G889" s="39">
        <v>526.6</v>
      </c>
      <c r="H889" s="39">
        <v>526.6</v>
      </c>
    </row>
    <row r="890" spans="1:8" ht="59.25" customHeight="1">
      <c r="A890" s="7" t="s">
        <v>65</v>
      </c>
      <c r="B890" s="8" t="s">
        <v>515</v>
      </c>
      <c r="C890" s="8" t="s">
        <v>41</v>
      </c>
      <c r="D890" s="8" t="s">
        <v>66</v>
      </c>
      <c r="E890" s="8" t="s">
        <v>98</v>
      </c>
      <c r="F890" s="49">
        <f>F891+F892+F893+F894</f>
        <v>1097.1999999999998</v>
      </c>
      <c r="G890" s="39">
        <f>G891+G894</f>
        <v>1151</v>
      </c>
      <c r="H890" s="39">
        <f>H891+H894</f>
        <v>1151</v>
      </c>
    </row>
    <row r="891" spans="1:8" ht="38.25">
      <c r="A891" s="7" t="s">
        <v>115</v>
      </c>
      <c r="B891" s="8" t="s">
        <v>515</v>
      </c>
      <c r="C891" s="8" t="s">
        <v>41</v>
      </c>
      <c r="D891" s="8" t="s">
        <v>66</v>
      </c>
      <c r="E891" s="8" t="s">
        <v>116</v>
      </c>
      <c r="F891" s="49">
        <f>1096-100-421-50.2-265.2</f>
        <v>259.59999999999997</v>
      </c>
      <c r="G891" s="39">
        <v>1096</v>
      </c>
      <c r="H891" s="39">
        <v>1096</v>
      </c>
    </row>
    <row r="892" spans="1:8" ht="25.5">
      <c r="A892" s="7" t="s">
        <v>593</v>
      </c>
      <c r="B892" s="8" t="s">
        <v>515</v>
      </c>
      <c r="C892" s="8" t="s">
        <v>41</v>
      </c>
      <c r="D892" s="8" t="s">
        <v>66</v>
      </c>
      <c r="E892" s="8" t="s">
        <v>594</v>
      </c>
      <c r="F892" s="49">
        <f>452+213.2</f>
        <v>665.2</v>
      </c>
      <c r="G892" s="39"/>
      <c r="H892" s="39"/>
    </row>
    <row r="893" spans="1:8" ht="76.5">
      <c r="A893" s="7" t="s">
        <v>208</v>
      </c>
      <c r="B893" s="8" t="s">
        <v>515</v>
      </c>
      <c r="C893" s="8" t="s">
        <v>41</v>
      </c>
      <c r="D893" s="8" t="s">
        <v>66</v>
      </c>
      <c r="E893" s="8" t="s">
        <v>209</v>
      </c>
      <c r="F893" s="49">
        <f>55+100-31+50.2-1.8</f>
        <v>172.39999999999998</v>
      </c>
      <c r="G893" s="39"/>
      <c r="H893" s="39"/>
    </row>
    <row r="894" spans="1:8" ht="34.5" customHeight="1">
      <c r="A894" s="7" t="s">
        <v>170</v>
      </c>
      <c r="B894" s="8" t="s">
        <v>515</v>
      </c>
      <c r="C894" s="8" t="s">
        <v>41</v>
      </c>
      <c r="D894" s="8" t="s">
        <v>66</v>
      </c>
      <c r="E894" s="8" t="s">
        <v>171</v>
      </c>
      <c r="F894" s="49">
        <f>55-55</f>
        <v>0</v>
      </c>
      <c r="G894" s="39">
        <v>55</v>
      </c>
      <c r="H894" s="39">
        <v>55</v>
      </c>
    </row>
    <row r="895" spans="1:8" ht="43.5" customHeight="1">
      <c r="A895" s="7" t="s">
        <v>67</v>
      </c>
      <c r="B895" s="8" t="s">
        <v>515</v>
      </c>
      <c r="C895" s="8" t="s">
        <v>41</v>
      </c>
      <c r="D895" s="8" t="s">
        <v>68</v>
      </c>
      <c r="E895" s="8" t="s">
        <v>98</v>
      </c>
      <c r="F895" s="49">
        <f>F896+F899+F898+F897</f>
        <v>1000</v>
      </c>
      <c r="G895" s="39">
        <f>G896+G899</f>
        <v>1000</v>
      </c>
      <c r="H895" s="39">
        <f>H896+H899</f>
        <v>1000</v>
      </c>
    </row>
    <row r="896" spans="1:8" ht="38.25">
      <c r="A896" s="7" t="s">
        <v>115</v>
      </c>
      <c r="B896" s="8" t="s">
        <v>515</v>
      </c>
      <c r="C896" s="8" t="s">
        <v>41</v>
      </c>
      <c r="D896" s="8" t="s">
        <v>68</v>
      </c>
      <c r="E896" s="8" t="s">
        <v>116</v>
      </c>
      <c r="F896" s="49">
        <f>572+17.2+31.8+15.1</f>
        <v>636.1</v>
      </c>
      <c r="G896" s="39">
        <v>630</v>
      </c>
      <c r="H896" s="39">
        <v>630</v>
      </c>
    </row>
    <row r="897" spans="1:8" ht="25.5">
      <c r="A897" s="7" t="s">
        <v>593</v>
      </c>
      <c r="B897" s="8" t="s">
        <v>515</v>
      </c>
      <c r="C897" s="8" t="s">
        <v>41</v>
      </c>
      <c r="D897" s="8" t="s">
        <v>68</v>
      </c>
      <c r="E897" s="8" t="s">
        <v>594</v>
      </c>
      <c r="F897" s="49">
        <f>0.5</f>
        <v>0.5</v>
      </c>
      <c r="G897" s="39"/>
      <c r="H897" s="39"/>
    </row>
    <row r="898" spans="1:8" ht="76.5">
      <c r="A898" s="7" t="s">
        <v>208</v>
      </c>
      <c r="B898" s="8" t="s">
        <v>515</v>
      </c>
      <c r="C898" s="8" t="s">
        <v>41</v>
      </c>
      <c r="D898" s="8" t="s">
        <v>68</v>
      </c>
      <c r="E898" s="8" t="s">
        <v>209</v>
      </c>
      <c r="F898" s="49">
        <f>428-17.2-31.8-15.6</f>
        <v>363.4</v>
      </c>
      <c r="G898" s="39"/>
      <c r="H898" s="39"/>
    </row>
    <row r="899" spans="1:8" ht="39" customHeight="1">
      <c r="A899" s="7" t="s">
        <v>170</v>
      </c>
      <c r="B899" s="8" t="s">
        <v>515</v>
      </c>
      <c r="C899" s="8" t="s">
        <v>41</v>
      </c>
      <c r="D899" s="8" t="s">
        <v>68</v>
      </c>
      <c r="E899" s="8" t="s">
        <v>171</v>
      </c>
      <c r="F899" s="49">
        <f>370-370</f>
        <v>0</v>
      </c>
      <c r="G899" s="39">
        <v>370</v>
      </c>
      <c r="H899" s="39">
        <v>370</v>
      </c>
    </row>
    <row r="900" spans="1:8" ht="22.5" customHeight="1">
      <c r="A900" s="17" t="s">
        <v>69</v>
      </c>
      <c r="B900" s="16" t="s">
        <v>140</v>
      </c>
      <c r="C900" s="16" t="s">
        <v>98</v>
      </c>
      <c r="D900" s="16" t="s">
        <v>99</v>
      </c>
      <c r="E900" s="16" t="s">
        <v>98</v>
      </c>
      <c r="F900" s="75">
        <f>F901+F918+F916</f>
        <v>52809.7</v>
      </c>
      <c r="G900" s="43">
        <f aca="true" t="shared" si="49" ref="F900:H901">G901</f>
        <v>46445</v>
      </c>
      <c r="H900" s="43">
        <f t="shared" si="49"/>
        <v>46945</v>
      </c>
    </row>
    <row r="901" spans="1:8" ht="21" customHeight="1">
      <c r="A901" s="7" t="s">
        <v>70</v>
      </c>
      <c r="B901" s="8" t="s">
        <v>140</v>
      </c>
      <c r="C901" s="8" t="s">
        <v>102</v>
      </c>
      <c r="D901" s="8" t="s">
        <v>99</v>
      </c>
      <c r="E901" s="8" t="s">
        <v>98</v>
      </c>
      <c r="F901" s="49">
        <f t="shared" si="49"/>
        <v>50759.7</v>
      </c>
      <c r="G901" s="39">
        <f t="shared" si="49"/>
        <v>46445</v>
      </c>
      <c r="H901" s="39">
        <f t="shared" si="49"/>
        <v>46945</v>
      </c>
    </row>
    <row r="902" spans="1:8" ht="48.75" customHeight="1">
      <c r="A902" s="7" t="s">
        <v>71</v>
      </c>
      <c r="B902" s="8" t="s">
        <v>140</v>
      </c>
      <c r="C902" s="8" t="s">
        <v>102</v>
      </c>
      <c r="D902" s="8" t="s">
        <v>704</v>
      </c>
      <c r="E902" s="8" t="s">
        <v>98</v>
      </c>
      <c r="F902" s="49">
        <f>F903+F905</f>
        <v>50759.7</v>
      </c>
      <c r="G902" s="39">
        <f>G903+G905</f>
        <v>46445</v>
      </c>
      <c r="H902" s="39">
        <f>H903+H905</f>
        <v>46945</v>
      </c>
    </row>
    <row r="903" spans="1:8" ht="32.25" customHeight="1">
      <c r="A903" s="7" t="s">
        <v>220</v>
      </c>
      <c r="B903" s="8" t="s">
        <v>140</v>
      </c>
      <c r="C903" s="8" t="s">
        <v>102</v>
      </c>
      <c r="D903" s="8" t="s">
        <v>72</v>
      </c>
      <c r="E903" s="8" t="s">
        <v>98</v>
      </c>
      <c r="F903" s="49">
        <f>F904</f>
        <v>857</v>
      </c>
      <c r="G903" s="39">
        <f>G904</f>
        <v>850</v>
      </c>
      <c r="H903" s="39">
        <f>H904</f>
        <v>850</v>
      </c>
    </row>
    <row r="904" spans="1:8" ht="30.75" customHeight="1">
      <c r="A904" s="7" t="s">
        <v>130</v>
      </c>
      <c r="B904" s="8" t="s">
        <v>140</v>
      </c>
      <c r="C904" s="8" t="s">
        <v>102</v>
      </c>
      <c r="D904" s="8" t="s">
        <v>72</v>
      </c>
      <c r="E904" s="8" t="s">
        <v>131</v>
      </c>
      <c r="F904" s="49">
        <f>850+7</f>
        <v>857</v>
      </c>
      <c r="G904" s="39">
        <v>850</v>
      </c>
      <c r="H904" s="39">
        <v>850</v>
      </c>
    </row>
    <row r="905" spans="1:8" ht="37.5" customHeight="1">
      <c r="A905" s="7" t="s">
        <v>175</v>
      </c>
      <c r="B905" s="8" t="s">
        <v>140</v>
      </c>
      <c r="C905" s="8" t="s">
        <v>102</v>
      </c>
      <c r="D905" s="8" t="s">
        <v>705</v>
      </c>
      <c r="E905" s="8" t="s">
        <v>98</v>
      </c>
      <c r="F905" s="49">
        <f>F906+F911+F913</f>
        <v>49902.7</v>
      </c>
      <c r="G905" s="39">
        <f>G906+G911+G913</f>
        <v>45595</v>
      </c>
      <c r="H905" s="39">
        <f>H906+H911+H913</f>
        <v>46095</v>
      </c>
    </row>
    <row r="906" spans="1:8" ht="57" customHeight="1">
      <c r="A906" s="7" t="s">
        <v>73</v>
      </c>
      <c r="B906" s="8" t="s">
        <v>140</v>
      </c>
      <c r="C906" s="8" t="s">
        <v>102</v>
      </c>
      <c r="D906" s="8" t="s">
        <v>74</v>
      </c>
      <c r="E906" s="8" t="s">
        <v>98</v>
      </c>
      <c r="F906" s="49">
        <f>F907+F908+F909+F910</f>
        <v>49842.7</v>
      </c>
      <c r="G906" s="39">
        <f>G907+G908+G909+G910</f>
        <v>45535</v>
      </c>
      <c r="H906" s="39">
        <f>H907+H908+H909+H910</f>
        <v>46035</v>
      </c>
    </row>
    <row r="907" spans="1:8" ht="22.5" customHeight="1">
      <c r="A907" s="7" t="s">
        <v>107</v>
      </c>
      <c r="B907" s="8" t="s">
        <v>140</v>
      </c>
      <c r="C907" s="8" t="s">
        <v>102</v>
      </c>
      <c r="D907" s="8" t="s">
        <v>74</v>
      </c>
      <c r="E907" s="8" t="s">
        <v>178</v>
      </c>
      <c r="F907" s="49">
        <f>20165+298+265.3+1221.7</f>
        <v>21950</v>
      </c>
      <c r="G907" s="39">
        <v>20165</v>
      </c>
      <c r="H907" s="39">
        <v>20165</v>
      </c>
    </row>
    <row r="908" spans="1:8" ht="31.5" customHeight="1">
      <c r="A908" s="7" t="s">
        <v>126</v>
      </c>
      <c r="B908" s="8" t="s">
        <v>140</v>
      </c>
      <c r="C908" s="8" t="s">
        <v>102</v>
      </c>
      <c r="D908" s="8" t="s">
        <v>74</v>
      </c>
      <c r="E908" s="8" t="s">
        <v>185</v>
      </c>
      <c r="F908" s="49">
        <f>60-10-30</f>
        <v>20</v>
      </c>
      <c r="G908" s="39">
        <v>50</v>
      </c>
      <c r="H908" s="39">
        <v>50</v>
      </c>
    </row>
    <row r="909" spans="1:8" ht="38.25">
      <c r="A909" s="7" t="s">
        <v>119</v>
      </c>
      <c r="B909" s="8" t="s">
        <v>140</v>
      </c>
      <c r="C909" s="8" t="s">
        <v>102</v>
      </c>
      <c r="D909" s="8" t="s">
        <v>74</v>
      </c>
      <c r="E909" s="8" t="s">
        <v>120</v>
      </c>
      <c r="F909" s="49">
        <f>541.5-75+50+13-5.8</f>
        <v>523.7</v>
      </c>
      <c r="G909" s="39">
        <v>580</v>
      </c>
      <c r="H909" s="39">
        <v>650</v>
      </c>
    </row>
    <row r="910" spans="1:8" ht="39.75" customHeight="1">
      <c r="A910" s="7" t="s">
        <v>115</v>
      </c>
      <c r="B910" s="8" t="s">
        <v>140</v>
      </c>
      <c r="C910" s="8" t="s">
        <v>102</v>
      </c>
      <c r="D910" s="8" t="s">
        <v>74</v>
      </c>
      <c r="E910" s="8" t="s">
        <v>116</v>
      </c>
      <c r="F910" s="49">
        <f>26136+500+85+400-20+1000+600-1352</f>
        <v>27349</v>
      </c>
      <c r="G910" s="39">
        <v>24740</v>
      </c>
      <c r="H910" s="39">
        <v>25170</v>
      </c>
    </row>
    <row r="911" spans="1:8" ht="69.75" customHeight="1">
      <c r="A911" s="7" t="s">
        <v>75</v>
      </c>
      <c r="B911" s="8" t="s">
        <v>140</v>
      </c>
      <c r="C911" s="8" t="s">
        <v>102</v>
      </c>
      <c r="D911" s="8" t="s">
        <v>76</v>
      </c>
      <c r="E911" s="8" t="s">
        <v>98</v>
      </c>
      <c r="F911" s="49">
        <f>F912</f>
        <v>60</v>
      </c>
      <c r="G911" s="39">
        <f>G912</f>
        <v>60</v>
      </c>
      <c r="H911" s="39">
        <f>H912</f>
        <v>60</v>
      </c>
    </row>
    <row r="912" spans="1:8" ht="38.25">
      <c r="A912" s="7" t="s">
        <v>115</v>
      </c>
      <c r="B912" s="8" t="s">
        <v>140</v>
      </c>
      <c r="C912" s="8" t="s">
        <v>102</v>
      </c>
      <c r="D912" s="8" t="s">
        <v>76</v>
      </c>
      <c r="E912" s="8" t="s">
        <v>116</v>
      </c>
      <c r="F912" s="49">
        <v>60</v>
      </c>
      <c r="G912" s="39">
        <v>60</v>
      </c>
      <c r="H912" s="39">
        <v>60</v>
      </c>
    </row>
    <row r="913" spans="1:8" ht="44.25" customHeight="1">
      <c r="A913" s="7" t="s">
        <v>448</v>
      </c>
      <c r="B913" s="8" t="s">
        <v>140</v>
      </c>
      <c r="C913" s="8" t="s">
        <v>102</v>
      </c>
      <c r="D913" s="8" t="s">
        <v>77</v>
      </c>
      <c r="E913" s="8" t="s">
        <v>98</v>
      </c>
      <c r="F913" s="49">
        <f>F914+F915</f>
        <v>0</v>
      </c>
      <c r="G913" s="39">
        <f>G914</f>
        <v>0</v>
      </c>
      <c r="H913" s="39">
        <f>H914</f>
        <v>0</v>
      </c>
    </row>
    <row r="914" spans="1:8" ht="53.25" customHeight="1">
      <c r="A914" s="7" t="s">
        <v>78</v>
      </c>
      <c r="B914" s="8" t="s">
        <v>140</v>
      </c>
      <c r="C914" s="8" t="s">
        <v>102</v>
      </c>
      <c r="D914" s="8" t="s">
        <v>77</v>
      </c>
      <c r="E914" s="8" t="s">
        <v>83</v>
      </c>
      <c r="F914" s="49">
        <f>9000-9000</f>
        <v>0</v>
      </c>
      <c r="G914" s="39">
        <v>0</v>
      </c>
      <c r="H914" s="39">
        <v>0</v>
      </c>
    </row>
    <row r="915" spans="1:8" ht="78.75" customHeight="1">
      <c r="A915" s="7" t="s">
        <v>208</v>
      </c>
      <c r="B915" s="8" t="s">
        <v>140</v>
      </c>
      <c r="C915" s="8" t="s">
        <v>102</v>
      </c>
      <c r="D915" s="8" t="s">
        <v>64</v>
      </c>
      <c r="E915" s="8" t="s">
        <v>203</v>
      </c>
      <c r="F915" s="49">
        <f>9000-2000-7000</f>
        <v>0</v>
      </c>
      <c r="G915" s="39"/>
      <c r="H915" s="39"/>
    </row>
    <row r="916" spans="1:8" ht="42.75" customHeight="1">
      <c r="A916" s="37" t="s">
        <v>333</v>
      </c>
      <c r="B916" s="38" t="s">
        <v>140</v>
      </c>
      <c r="C916" s="38" t="s">
        <v>102</v>
      </c>
      <c r="D916" s="38" t="s">
        <v>332</v>
      </c>
      <c r="E916" s="38"/>
      <c r="F916" s="49">
        <f>F917</f>
        <v>2000</v>
      </c>
      <c r="G916" s="49"/>
      <c r="H916" s="49"/>
    </row>
    <row r="917" spans="1:8" ht="78" customHeight="1">
      <c r="A917" s="7" t="s">
        <v>208</v>
      </c>
      <c r="B917" s="8" t="s">
        <v>140</v>
      </c>
      <c r="C917" s="8" t="s">
        <v>102</v>
      </c>
      <c r="D917" s="8" t="s">
        <v>332</v>
      </c>
      <c r="E917" s="8" t="s">
        <v>209</v>
      </c>
      <c r="F917" s="49">
        <v>2000</v>
      </c>
      <c r="G917" s="39"/>
      <c r="H917" s="39"/>
    </row>
    <row r="918" spans="1:8" ht="23.25" customHeight="1">
      <c r="A918" s="7" t="s">
        <v>232</v>
      </c>
      <c r="B918" s="8" t="s">
        <v>140</v>
      </c>
      <c r="C918" s="8" t="s">
        <v>110</v>
      </c>
      <c r="D918" s="8" t="s">
        <v>559</v>
      </c>
      <c r="E918" s="8"/>
      <c r="F918" s="49">
        <f>F919</f>
        <v>50</v>
      </c>
      <c r="G918" s="39"/>
      <c r="H918" s="39"/>
    </row>
    <row r="919" spans="1:8" ht="45" customHeight="1">
      <c r="A919" s="7" t="s">
        <v>562</v>
      </c>
      <c r="B919" s="8" t="s">
        <v>140</v>
      </c>
      <c r="C919" s="8" t="s">
        <v>110</v>
      </c>
      <c r="D919" s="8" t="s">
        <v>563</v>
      </c>
      <c r="E919" s="8"/>
      <c r="F919" s="49">
        <f>F920</f>
        <v>50</v>
      </c>
      <c r="G919" s="39"/>
      <c r="H919" s="39"/>
    </row>
    <row r="920" spans="1:8" ht="37.5" customHeight="1">
      <c r="A920" s="7" t="s">
        <v>564</v>
      </c>
      <c r="B920" s="8" t="s">
        <v>140</v>
      </c>
      <c r="C920" s="8" t="s">
        <v>110</v>
      </c>
      <c r="D920" s="8" t="s">
        <v>565</v>
      </c>
      <c r="E920" s="8"/>
      <c r="F920" s="49">
        <f>F921</f>
        <v>50</v>
      </c>
      <c r="G920" s="39"/>
      <c r="H920" s="39"/>
    </row>
    <row r="921" spans="1:8" ht="37.5" customHeight="1">
      <c r="A921" s="18" t="s">
        <v>115</v>
      </c>
      <c r="B921" s="13" t="s">
        <v>140</v>
      </c>
      <c r="C921" s="13" t="s">
        <v>110</v>
      </c>
      <c r="D921" s="13" t="s">
        <v>565</v>
      </c>
      <c r="E921" s="13" t="s">
        <v>116</v>
      </c>
      <c r="F921" s="48">
        <f>50</f>
        <v>50</v>
      </c>
      <c r="G921" s="48"/>
      <c r="H921" s="48"/>
    </row>
    <row r="922" spans="1:8" ht="17.25" customHeight="1">
      <c r="A922" s="80" t="s">
        <v>707</v>
      </c>
      <c r="B922" s="76" t="s">
        <v>205</v>
      </c>
      <c r="C922" s="76" t="s">
        <v>98</v>
      </c>
      <c r="D922" s="76" t="s">
        <v>99</v>
      </c>
      <c r="E922" s="76" t="s">
        <v>98</v>
      </c>
      <c r="F922" s="75">
        <f>F923+F931</f>
        <v>4670</v>
      </c>
      <c r="G922" s="75">
        <f>G923+G931</f>
        <v>3000</v>
      </c>
      <c r="H922" s="75">
        <f>H923+H931</f>
        <v>3000</v>
      </c>
    </row>
    <row r="923" spans="1:8" ht="18.75" customHeight="1">
      <c r="A923" s="7" t="s">
        <v>84</v>
      </c>
      <c r="B923" s="8" t="s">
        <v>205</v>
      </c>
      <c r="C923" s="8" t="s">
        <v>102</v>
      </c>
      <c r="D923" s="8" t="s">
        <v>99</v>
      </c>
      <c r="E923" s="8" t="s">
        <v>98</v>
      </c>
      <c r="F923" s="49">
        <f aca="true" t="shared" si="50" ref="F923:H924">F924</f>
        <v>2410.5</v>
      </c>
      <c r="G923" s="39">
        <f t="shared" si="50"/>
        <v>900</v>
      </c>
      <c r="H923" s="39">
        <f t="shared" si="50"/>
        <v>900</v>
      </c>
    </row>
    <row r="924" spans="1:8" ht="31.5" customHeight="1">
      <c r="A924" s="7" t="s">
        <v>85</v>
      </c>
      <c r="B924" s="8" t="s">
        <v>205</v>
      </c>
      <c r="C924" s="8" t="s">
        <v>102</v>
      </c>
      <c r="D924" s="8" t="s">
        <v>708</v>
      </c>
      <c r="E924" s="8" t="s">
        <v>98</v>
      </c>
      <c r="F924" s="49">
        <f t="shared" si="50"/>
        <v>2410.5</v>
      </c>
      <c r="G924" s="39">
        <f t="shared" si="50"/>
        <v>900</v>
      </c>
      <c r="H924" s="39">
        <f t="shared" si="50"/>
        <v>900</v>
      </c>
    </row>
    <row r="925" spans="1:8" ht="42" customHeight="1">
      <c r="A925" s="7" t="s">
        <v>86</v>
      </c>
      <c r="B925" s="8" t="s">
        <v>205</v>
      </c>
      <c r="C925" s="8" t="s">
        <v>102</v>
      </c>
      <c r="D925" s="8" t="s">
        <v>87</v>
      </c>
      <c r="E925" s="8" t="s">
        <v>98</v>
      </c>
      <c r="F925" s="49">
        <f>F930+F927+F928+F929+F926</f>
        <v>2410.5</v>
      </c>
      <c r="G925" s="39">
        <f>G930</f>
        <v>900</v>
      </c>
      <c r="H925" s="39">
        <f>H930</f>
        <v>900</v>
      </c>
    </row>
    <row r="926" spans="1:8" ht="39.75" customHeight="1">
      <c r="A926" s="7" t="s">
        <v>119</v>
      </c>
      <c r="B926" s="8" t="s">
        <v>205</v>
      </c>
      <c r="C926" s="8" t="s">
        <v>102</v>
      </c>
      <c r="D926" s="8" t="s">
        <v>263</v>
      </c>
      <c r="E926" s="8" t="s">
        <v>120</v>
      </c>
      <c r="F926" s="49">
        <v>100</v>
      </c>
      <c r="G926" s="39"/>
      <c r="H926" s="39"/>
    </row>
    <row r="927" spans="1:8" ht="42" customHeight="1">
      <c r="A927" s="7" t="s">
        <v>115</v>
      </c>
      <c r="B927" s="8" t="s">
        <v>205</v>
      </c>
      <c r="C927" s="8" t="s">
        <v>102</v>
      </c>
      <c r="D927" s="8" t="s">
        <v>87</v>
      </c>
      <c r="E927" s="8" t="s">
        <v>116</v>
      </c>
      <c r="F927" s="49">
        <v>300</v>
      </c>
      <c r="G927" s="39"/>
      <c r="H927" s="39"/>
    </row>
    <row r="928" spans="1:8" ht="80.25" customHeight="1">
      <c r="A928" s="7" t="s">
        <v>208</v>
      </c>
      <c r="B928" s="8" t="s">
        <v>205</v>
      </c>
      <c r="C928" s="8" t="s">
        <v>102</v>
      </c>
      <c r="D928" s="8" t="s">
        <v>87</v>
      </c>
      <c r="E928" s="8" t="s">
        <v>209</v>
      </c>
      <c r="F928" s="49">
        <v>230</v>
      </c>
      <c r="G928" s="39"/>
      <c r="H928" s="39"/>
    </row>
    <row r="929" spans="1:8" ht="28.5" customHeight="1">
      <c r="A929" s="7" t="s">
        <v>170</v>
      </c>
      <c r="B929" s="8" t="s">
        <v>205</v>
      </c>
      <c r="C929" s="8" t="s">
        <v>102</v>
      </c>
      <c r="D929" s="8" t="s">
        <v>87</v>
      </c>
      <c r="E929" s="8" t="s">
        <v>171</v>
      </c>
      <c r="F929" s="49">
        <v>140</v>
      </c>
      <c r="G929" s="39"/>
      <c r="H929" s="39"/>
    </row>
    <row r="930" spans="1:8" ht="53.25" customHeight="1">
      <c r="A930" s="7" t="s">
        <v>252</v>
      </c>
      <c r="B930" s="8" t="s">
        <v>205</v>
      </c>
      <c r="C930" s="8" t="s">
        <v>102</v>
      </c>
      <c r="D930" s="8" t="s">
        <v>87</v>
      </c>
      <c r="E930" s="8" t="s">
        <v>253</v>
      </c>
      <c r="F930" s="49">
        <v>1640.5</v>
      </c>
      <c r="G930" s="39">
        <v>900</v>
      </c>
      <c r="H930" s="39">
        <v>900</v>
      </c>
    </row>
    <row r="931" spans="1:8" ht="19.5" customHeight="1">
      <c r="A931" s="7" t="s">
        <v>88</v>
      </c>
      <c r="B931" s="8" t="s">
        <v>205</v>
      </c>
      <c r="C931" s="8" t="s">
        <v>104</v>
      </c>
      <c r="D931" s="8" t="s">
        <v>99</v>
      </c>
      <c r="E931" s="8" t="s">
        <v>98</v>
      </c>
      <c r="F931" s="49">
        <f aca="true" t="shared" si="51" ref="F931:H933">F932</f>
        <v>2259.5</v>
      </c>
      <c r="G931" s="39">
        <f t="shared" si="51"/>
        <v>2100</v>
      </c>
      <c r="H931" s="39">
        <f t="shared" si="51"/>
        <v>2100</v>
      </c>
    </row>
    <row r="932" spans="1:8" ht="18" customHeight="1">
      <c r="A932" s="7" t="s">
        <v>89</v>
      </c>
      <c r="B932" s="8" t="s">
        <v>205</v>
      </c>
      <c r="C932" s="8" t="s">
        <v>104</v>
      </c>
      <c r="D932" s="8" t="s">
        <v>709</v>
      </c>
      <c r="E932" s="8" t="s">
        <v>98</v>
      </c>
      <c r="F932" s="49">
        <f t="shared" si="51"/>
        <v>2259.5</v>
      </c>
      <c r="G932" s="39">
        <f t="shared" si="51"/>
        <v>2100</v>
      </c>
      <c r="H932" s="39">
        <f t="shared" si="51"/>
        <v>2100</v>
      </c>
    </row>
    <row r="933" spans="1:8" ht="30.75" customHeight="1">
      <c r="A933" s="7" t="s">
        <v>90</v>
      </c>
      <c r="B933" s="8" t="s">
        <v>205</v>
      </c>
      <c r="C933" s="8" t="s">
        <v>104</v>
      </c>
      <c r="D933" s="8" t="s">
        <v>91</v>
      </c>
      <c r="E933" s="8" t="s">
        <v>98</v>
      </c>
      <c r="F933" s="49">
        <f t="shared" si="51"/>
        <v>2259.5</v>
      </c>
      <c r="G933" s="39">
        <f t="shared" si="51"/>
        <v>2100</v>
      </c>
      <c r="H933" s="39">
        <f t="shared" si="51"/>
        <v>2100</v>
      </c>
    </row>
    <row r="934" spans="1:8" ht="44.25" customHeight="1">
      <c r="A934" s="7" t="s">
        <v>252</v>
      </c>
      <c r="B934" s="8" t="s">
        <v>205</v>
      </c>
      <c r="C934" s="8" t="s">
        <v>104</v>
      </c>
      <c r="D934" s="8" t="s">
        <v>91</v>
      </c>
      <c r="E934" s="8" t="s">
        <v>253</v>
      </c>
      <c r="F934" s="49">
        <v>2259.5</v>
      </c>
      <c r="G934" s="39">
        <v>2100</v>
      </c>
      <c r="H934" s="39">
        <v>2100</v>
      </c>
    </row>
    <row r="935" spans="1:8" ht="32.25" customHeight="1">
      <c r="A935" s="10" t="s">
        <v>710</v>
      </c>
      <c r="B935" s="8" t="s">
        <v>146</v>
      </c>
      <c r="C935" s="8" t="s">
        <v>98</v>
      </c>
      <c r="D935" s="8" t="s">
        <v>99</v>
      </c>
      <c r="E935" s="8" t="s">
        <v>98</v>
      </c>
      <c r="F935" s="49">
        <f aca="true" t="shared" si="52" ref="F935:H938">F936</f>
        <v>300</v>
      </c>
      <c r="G935" s="39">
        <f t="shared" si="52"/>
        <v>300</v>
      </c>
      <c r="H935" s="39">
        <f t="shared" si="52"/>
        <v>300</v>
      </c>
    </row>
    <row r="936" spans="1:8" ht="39.75" customHeight="1">
      <c r="A936" s="7" t="s">
        <v>92</v>
      </c>
      <c r="B936" s="8" t="s">
        <v>146</v>
      </c>
      <c r="C936" s="8" t="s">
        <v>102</v>
      </c>
      <c r="D936" s="8" t="s">
        <v>99</v>
      </c>
      <c r="E936" s="8" t="s">
        <v>98</v>
      </c>
      <c r="F936" s="49">
        <f t="shared" si="52"/>
        <v>300</v>
      </c>
      <c r="G936" s="39">
        <f t="shared" si="52"/>
        <v>300</v>
      </c>
      <c r="H936" s="39">
        <f t="shared" si="52"/>
        <v>300</v>
      </c>
    </row>
    <row r="937" spans="1:8" ht="27.75" customHeight="1">
      <c r="A937" s="7" t="s">
        <v>93</v>
      </c>
      <c r="B937" s="8" t="s">
        <v>146</v>
      </c>
      <c r="C937" s="8" t="s">
        <v>102</v>
      </c>
      <c r="D937" s="8" t="s">
        <v>711</v>
      </c>
      <c r="E937" s="8" t="s">
        <v>98</v>
      </c>
      <c r="F937" s="49">
        <f t="shared" si="52"/>
        <v>300</v>
      </c>
      <c r="G937" s="39">
        <f t="shared" si="52"/>
        <v>300</v>
      </c>
      <c r="H937" s="39">
        <f t="shared" si="52"/>
        <v>300</v>
      </c>
    </row>
    <row r="938" spans="1:8" ht="27.75" customHeight="1">
      <c r="A938" s="7" t="s">
        <v>94</v>
      </c>
      <c r="B938" s="8" t="s">
        <v>146</v>
      </c>
      <c r="C938" s="8" t="s">
        <v>102</v>
      </c>
      <c r="D938" s="8" t="s">
        <v>95</v>
      </c>
      <c r="E938" s="8" t="s">
        <v>98</v>
      </c>
      <c r="F938" s="49">
        <f t="shared" si="52"/>
        <v>300</v>
      </c>
      <c r="G938" s="39">
        <f t="shared" si="52"/>
        <v>300</v>
      </c>
      <c r="H938" s="39">
        <f t="shared" si="52"/>
        <v>300</v>
      </c>
    </row>
    <row r="939" spans="1:8" ht="17.25" customHeight="1">
      <c r="A939" s="7" t="s">
        <v>96</v>
      </c>
      <c r="B939" s="8" t="s">
        <v>146</v>
      </c>
      <c r="C939" s="8" t="s">
        <v>102</v>
      </c>
      <c r="D939" s="8" t="s">
        <v>95</v>
      </c>
      <c r="E939" s="8" t="s">
        <v>97</v>
      </c>
      <c r="F939" s="49">
        <v>300</v>
      </c>
      <c r="G939" s="39">
        <v>300</v>
      </c>
      <c r="H939" s="39">
        <v>300</v>
      </c>
    </row>
    <row r="940" spans="1:8" ht="17.25" customHeight="1">
      <c r="A940" s="7" t="s">
        <v>525</v>
      </c>
      <c r="B940" s="8"/>
      <c r="C940" s="8"/>
      <c r="D940" s="8"/>
      <c r="E940" s="8"/>
      <c r="F940" s="49"/>
      <c r="G940" s="39">
        <v>45450</v>
      </c>
      <c r="H940" s="39">
        <v>71600</v>
      </c>
    </row>
    <row r="941" spans="1:8" ht="21.75" customHeight="1">
      <c r="A941" s="14" t="s">
        <v>768</v>
      </c>
      <c r="B941" s="15"/>
      <c r="C941" s="15"/>
      <c r="D941" s="15"/>
      <c r="E941" s="15"/>
      <c r="F941" s="68">
        <f>F23+F95+F103+F119+F163+F304+F491+F564+F675+F900+F922+F935-0.1</f>
        <v>3951040.4844</v>
      </c>
      <c r="G941" s="42">
        <f>G23+G95+G103+G119+G163+G304+G491+G564+G675+G900+G922+G935+G940</f>
        <v>3293504.7</v>
      </c>
      <c r="H941" s="42">
        <f>H23+H95+H103+H119+H163+H304+H491+H564+H675+H900+H922+H935+H940</f>
        <v>3327918.6</v>
      </c>
    </row>
  </sheetData>
  <sheetProtection/>
  <mergeCells count="7">
    <mergeCell ref="A2:I2"/>
    <mergeCell ref="A4:H4"/>
    <mergeCell ref="A3:J3"/>
    <mergeCell ref="E15:H15"/>
    <mergeCell ref="A13:B13"/>
    <mergeCell ref="E14:F14"/>
    <mergeCell ref="D6:G6"/>
  </mergeCells>
  <conditionalFormatting sqref="A331:A334 A152:D152">
    <cfRule type="expression" priority="1" dxfId="1" stopIfTrue="1">
      <formula>ISBLANK(#REF!)</formula>
    </cfRule>
  </conditionalFormatting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Туркина Елена</cp:lastModifiedBy>
  <cp:lastPrinted>2013-01-14T10:06:43Z</cp:lastPrinted>
  <dcterms:created xsi:type="dcterms:W3CDTF">2012-01-08T07:13:52Z</dcterms:created>
  <dcterms:modified xsi:type="dcterms:W3CDTF">2013-11-12T02:37:01Z</dcterms:modified>
  <cp:category/>
  <cp:version/>
  <cp:contentType/>
  <cp:contentStatus/>
</cp:coreProperties>
</file>